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2 Annual Update\Filed Documents 5-27-22\"/>
    </mc:Choice>
  </mc:AlternateContent>
  <xr:revisionPtr revIDLastSave="0" documentId="13_ncr:10001_{FF1CB626-5EB3-4BA5-835B-F9DAAA8AE27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11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11" i="18"/>
  <c r="H35" i="18" l="1"/>
  <c r="H51" i="18"/>
  <c r="H84" i="18"/>
  <c r="H148" i="18"/>
  <c r="H52" i="18"/>
  <c r="H27" i="18"/>
  <c r="H43" i="18"/>
  <c r="H59" i="18"/>
  <c r="H116" i="18"/>
  <c r="H180" i="18"/>
  <c r="H20" i="18"/>
  <c r="H36" i="18"/>
  <c r="H100" i="18"/>
  <c r="H164" i="18"/>
  <c r="H28" i="18"/>
  <c r="H44" i="18"/>
  <c r="H68" i="18"/>
  <c r="H132" i="18"/>
  <c r="H196" i="18"/>
  <c r="H23" i="18"/>
  <c r="H31" i="18"/>
  <c r="H39" i="18"/>
  <c r="H47" i="18"/>
  <c r="H55" i="18"/>
  <c r="H63" i="18"/>
  <c r="H76" i="18"/>
  <c r="H92" i="18"/>
  <c r="H108" i="18"/>
  <c r="H124" i="18"/>
  <c r="H140" i="18"/>
  <c r="H156" i="18"/>
  <c r="H172" i="18"/>
  <c r="H188" i="18"/>
  <c r="H204" i="18"/>
  <c r="H60" i="18"/>
  <c r="H72" i="18"/>
  <c r="H88" i="18"/>
  <c r="H104" i="18"/>
  <c r="H120" i="18"/>
  <c r="H136" i="18"/>
  <c r="H152" i="18"/>
  <c r="H168" i="18"/>
  <c r="H184" i="18"/>
  <c r="H200" i="18"/>
  <c r="H24" i="18"/>
  <c r="H32" i="18"/>
  <c r="H40" i="18"/>
  <c r="H48" i="18"/>
  <c r="H56" i="18"/>
  <c r="H64" i="18"/>
  <c r="H80" i="18"/>
  <c r="H96" i="18"/>
  <c r="H112" i="18"/>
  <c r="H128" i="18"/>
  <c r="H144" i="18"/>
  <c r="H160" i="18"/>
  <c r="H176" i="18"/>
  <c r="H192" i="18"/>
  <c r="H208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H209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3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C53" i="18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49" i="18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D53" i="18"/>
  <c r="C64" i="18"/>
  <c r="C76" i="18" s="1"/>
  <c r="D55" i="18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C57" i="18"/>
  <c r="C81" i="18" s="1"/>
  <c r="C93" i="18" s="1"/>
  <c r="C105" i="18" s="1"/>
  <c r="C117" i="18" s="1"/>
  <c r="C129" i="18" s="1"/>
  <c r="C141" i="18" s="1"/>
  <c r="C153" i="18" s="1"/>
  <c r="K149" i="18"/>
  <c r="K103" i="18"/>
  <c r="K161" i="18"/>
  <c r="K175" i="18"/>
  <c r="K150" i="18"/>
  <c r="K174" i="18"/>
  <c r="K151" i="18"/>
  <c r="K75" i="18"/>
  <c r="K173" i="18"/>
  <c r="K40" i="18"/>
  <c r="K39" i="18"/>
  <c r="K64" i="18"/>
  <c r="K195" i="18"/>
  <c r="K162" i="18"/>
  <c r="K77" i="18"/>
  <c r="K79" i="18"/>
  <c r="K55" i="18"/>
  <c r="K199" i="18"/>
  <c r="K78" i="18"/>
  <c r="E32" i="29"/>
  <c r="H27" i="29"/>
  <c r="G30" i="29"/>
  <c r="D33" i="29"/>
  <c r="H31" i="29"/>
  <c r="G27" i="29"/>
  <c r="G29" i="29"/>
  <c r="H35" i="29"/>
  <c r="E37" i="29"/>
  <c r="G28" i="29"/>
  <c r="H30" i="29"/>
  <c r="H32" i="29"/>
  <c r="G25" i="29"/>
  <c r="D36" i="29"/>
  <c r="G36" i="29"/>
  <c r="H28" i="29"/>
  <c r="E28" i="29"/>
  <c r="E36" i="29"/>
  <c r="H22" i="29"/>
  <c r="E33" i="29"/>
  <c r="D31" i="29"/>
  <c r="H36" i="29"/>
  <c r="G35" i="29"/>
  <c r="H24" i="29"/>
  <c r="D35" i="29"/>
  <c r="D29" i="29"/>
  <c r="G23" i="29"/>
  <c r="E22" i="29"/>
  <c r="G31" i="29"/>
  <c r="D25" i="29"/>
  <c r="D26" i="29"/>
  <c r="E26" i="29"/>
  <c r="G21" i="29"/>
  <c r="E27" i="29"/>
  <c r="H33" i="29"/>
  <c r="D21" i="29"/>
  <c r="H21" i="29"/>
  <c r="D24" i="29"/>
  <c r="E23" i="29"/>
  <c r="E29" i="29"/>
  <c r="E30" i="29"/>
  <c r="D27" i="29"/>
  <c r="G32" i="29"/>
  <c r="D32" i="29"/>
  <c r="H29" i="29"/>
  <c r="G22" i="29"/>
  <c r="D37" i="29"/>
  <c r="G33" i="29"/>
  <c r="E25" i="29"/>
  <c r="D28" i="29"/>
  <c r="D23" i="29"/>
  <c r="E24" i="29"/>
  <c r="E35" i="29"/>
  <c r="D30" i="29"/>
  <c r="E31" i="29"/>
  <c r="G24" i="29"/>
  <c r="H37" i="29"/>
  <c r="G37" i="29"/>
  <c r="E21" i="29"/>
  <c r="G26" i="29"/>
  <c r="D22" i="29"/>
  <c r="H23" i="29"/>
  <c r="H25" i="29"/>
  <c r="H26" i="29"/>
  <c r="C75" i="18" l="1"/>
  <c r="C88" i="18"/>
  <c r="C100" i="18" s="1"/>
  <c r="C112" i="18" s="1"/>
  <c r="C124" i="18" s="1"/>
  <c r="C136" i="18" s="1"/>
  <c r="C148" i="18" s="1"/>
  <c r="C160" i="18" s="1"/>
  <c r="C172" i="18" s="1"/>
  <c r="C54" i="18"/>
  <c r="D50" i="18"/>
  <c r="C73" i="18"/>
  <c r="F10" i="29"/>
  <c r="E20" i="29"/>
  <c r="D20" i="29"/>
  <c r="E10" i="29"/>
  <c r="C78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C72" i="18"/>
  <c r="D57" i="18"/>
  <c r="D69" i="18" s="1"/>
  <c r="D46" i="18"/>
  <c r="C68" i="18"/>
  <c r="O13" i="18"/>
  <c r="K53" i="18"/>
  <c r="K184" i="18"/>
  <c r="K67" i="18"/>
  <c r="K66" i="18"/>
  <c r="K54" i="18"/>
  <c r="K76" i="18"/>
  <c r="K148" i="18"/>
  <c r="K30" i="18"/>
  <c r="K43" i="18"/>
  <c r="K159" i="18"/>
  <c r="K135" i="18"/>
  <c r="K198" i="18"/>
  <c r="K91" i="18"/>
  <c r="K41" i="18"/>
  <c r="K160" i="18"/>
  <c r="K87" i="18"/>
  <c r="K136" i="18"/>
  <c r="K209" i="18"/>
  <c r="K138" i="18"/>
  <c r="K211" i="18"/>
  <c r="K185" i="18"/>
  <c r="K124" i="18"/>
  <c r="K63" i="18"/>
  <c r="K137" i="18"/>
  <c r="K31" i="18"/>
  <c r="K171" i="18"/>
  <c r="K65" i="18"/>
  <c r="K147" i="18"/>
  <c r="K208" i="18"/>
  <c r="K29" i="18"/>
  <c r="K114" i="18"/>
  <c r="K89" i="18"/>
  <c r="K42" i="18"/>
  <c r="K102" i="18"/>
  <c r="K113" i="18"/>
  <c r="K123" i="18"/>
  <c r="K101" i="18"/>
  <c r="K207" i="18"/>
  <c r="K196" i="18"/>
  <c r="K51" i="18"/>
  <c r="K186" i="18"/>
  <c r="K111" i="18"/>
  <c r="K27" i="18"/>
  <c r="K183" i="18"/>
  <c r="K100" i="18"/>
  <c r="K210" i="18"/>
  <c r="K99" i="18"/>
  <c r="K52" i="18"/>
  <c r="K197" i="18"/>
  <c r="K126" i="18"/>
  <c r="K139" i="18"/>
  <c r="E13" i="29"/>
  <c r="K187" i="18"/>
  <c r="K28" i="18"/>
  <c r="K115" i="18"/>
  <c r="K127" i="18"/>
  <c r="K88" i="18"/>
  <c r="J34" i="29"/>
  <c r="J39" i="29" s="1"/>
  <c r="G212" i="18"/>
  <c r="K125" i="18"/>
  <c r="K90" i="18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68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74" i="18"/>
  <c r="C180" i="18"/>
  <c r="C192" i="18" s="1"/>
  <c r="C204" i="18" s="1"/>
  <c r="C168" i="18"/>
  <c r="C184" i="18"/>
  <c r="C196" i="18" s="1"/>
  <c r="C208" i="18" s="1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D80" i="18"/>
  <c r="D92" i="18" s="1"/>
  <c r="D104" i="18" s="1"/>
  <c r="D116" i="18" s="1"/>
  <c r="D128" i="18" s="1"/>
  <c r="D140" i="18" s="1"/>
  <c r="D152" i="18" s="1"/>
  <c r="C47" i="18"/>
  <c r="C59" i="18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84" i="18"/>
  <c r="D96" i="18" s="1"/>
  <c r="D108" i="18" s="1"/>
  <c r="D120" i="18" s="1"/>
  <c r="D132" i="18" s="1"/>
  <c r="D144" i="18" s="1"/>
  <c r="D156" i="18" s="1"/>
  <c r="D75" i="18"/>
  <c r="K163" i="18"/>
  <c r="K172" i="18"/>
  <c r="K112" i="18"/>
  <c r="D64" i="18"/>
  <c r="D52" i="18"/>
  <c r="D186" i="18" l="1"/>
  <c r="D198" i="18" s="1"/>
  <c r="D210" i="18" s="1"/>
  <c r="D185" i="18"/>
  <c r="D197" i="18" s="1"/>
  <c r="D209" i="18" s="1"/>
  <c r="D182" i="18"/>
  <c r="D194" i="18" s="1"/>
  <c r="D206" i="18" s="1"/>
  <c r="C91" i="18"/>
  <c r="C103" i="18" s="1"/>
  <c r="C115" i="18" s="1"/>
  <c r="C127" i="18" s="1"/>
  <c r="C139" i="18" s="1"/>
  <c r="C151" i="18" s="1"/>
  <c r="C163" i="18" s="1"/>
  <c r="D81" i="18"/>
  <c r="D93" i="18" s="1"/>
  <c r="D105" i="18" s="1"/>
  <c r="D117" i="18" s="1"/>
  <c r="D129" i="18" s="1"/>
  <c r="D141" i="18" s="1"/>
  <c r="D153" i="18" s="1"/>
  <c r="D177" i="18" s="1"/>
  <c r="D189" i="18" s="1"/>
  <c r="D201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64" i="18"/>
  <c r="D176" i="18"/>
  <c r="D188" i="18" s="1"/>
  <c r="D200" i="18" s="1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D165" i="18" l="1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K203" i="18" l="1"/>
  <c r="K191" i="18"/>
  <c r="K179" i="18"/>
  <c r="K167" i="18"/>
  <c r="K155" i="18"/>
  <c r="K143" i="18"/>
  <c r="K131" i="18"/>
  <c r="K119" i="18"/>
  <c r="K107" i="18"/>
  <c r="K95" i="18"/>
  <c r="K83" i="18"/>
  <c r="K71" i="18"/>
  <c r="K59" i="18"/>
  <c r="K47" i="18"/>
  <c r="K35" i="18"/>
  <c r="K26" i="18"/>
  <c r="K22" i="18"/>
  <c r="K106" i="18"/>
  <c r="K98" i="18"/>
  <c r="K94" i="18"/>
  <c r="K86" i="18"/>
  <c r="K82" i="18"/>
  <c r="K74" i="18"/>
  <c r="K206" i="18"/>
  <c r="K202" i="18"/>
  <c r="K194" i="18"/>
  <c r="K190" i="18"/>
  <c r="K182" i="18"/>
  <c r="K178" i="18"/>
  <c r="K170" i="18"/>
  <c r="K166" i="18"/>
  <c r="K158" i="18"/>
  <c r="K154" i="18"/>
  <c r="K146" i="18"/>
  <c r="K142" i="18"/>
  <c r="K134" i="18"/>
  <c r="K130" i="18"/>
  <c r="K122" i="18"/>
  <c r="K118" i="18"/>
  <c r="K110" i="18"/>
  <c r="K204" i="18"/>
  <c r="K188" i="18"/>
  <c r="K180" i="18"/>
  <c r="K164" i="18"/>
  <c r="K156" i="18"/>
  <c r="K140" i="18"/>
  <c r="K132" i="18"/>
  <c r="K116" i="18"/>
  <c r="K108" i="18"/>
  <c r="K92" i="18"/>
  <c r="K84" i="18"/>
  <c r="K70" i="18"/>
  <c r="K60" i="18"/>
  <c r="K49" i="18"/>
  <c r="K44" i="18"/>
  <c r="K38" i="18"/>
  <c r="K33" i="18"/>
  <c r="K23" i="18"/>
  <c r="K69" i="18"/>
  <c r="K58" i="18"/>
  <c r="K48" i="18"/>
  <c r="K37" i="18"/>
  <c r="K21" i="18"/>
  <c r="K201" i="18"/>
  <c r="K193" i="18"/>
  <c r="K177" i="18"/>
  <c r="K169" i="18"/>
  <c r="K153" i="18"/>
  <c r="K145" i="18"/>
  <c r="K129" i="18"/>
  <c r="K121" i="18"/>
  <c r="K105" i="18"/>
  <c r="K97" i="18"/>
  <c r="K81" i="18"/>
  <c r="K32" i="18"/>
  <c r="K200" i="18"/>
  <c r="K192" i="18"/>
  <c r="K176" i="18"/>
  <c r="K168" i="18"/>
  <c r="K152" i="18"/>
  <c r="K144" i="18"/>
  <c r="K128" i="18"/>
  <c r="K120" i="18"/>
  <c r="K104" i="18"/>
  <c r="K96" i="18"/>
  <c r="K80" i="18"/>
  <c r="K73" i="18"/>
  <c r="K68" i="18"/>
  <c r="K62" i="18"/>
  <c r="K57" i="18"/>
  <c r="K46" i="18"/>
  <c r="K36" i="18"/>
  <c r="K25" i="18"/>
  <c r="K20" i="18"/>
  <c r="K205" i="18"/>
  <c r="K189" i="18"/>
  <c r="K181" i="18"/>
  <c r="K165" i="18"/>
  <c r="K157" i="18"/>
  <c r="K141" i="18"/>
  <c r="K133" i="18"/>
  <c r="K117" i="18"/>
  <c r="K109" i="18"/>
  <c r="K93" i="18"/>
  <c r="K85" i="18"/>
  <c r="K72" i="18"/>
  <c r="K61" i="18"/>
  <c r="K56" i="18"/>
  <c r="K50" i="18"/>
  <c r="K45" i="18"/>
  <c r="K34" i="18"/>
  <c r="K24" i="18"/>
  <c r="K13" i="18" l="1"/>
  <c r="K14" i="18"/>
  <c r="K212" i="18"/>
  <c r="F12" i="29" l="1"/>
  <c r="I175" i="18" l="1"/>
  <c r="J175" i="18" s="1"/>
  <c r="L175" i="18" s="1"/>
  <c r="I157" i="18"/>
  <c r="J157" i="18" s="1"/>
  <c r="L157" i="18" s="1"/>
  <c r="I94" i="18"/>
  <c r="J94" i="18" s="1"/>
  <c r="L94" i="18" s="1"/>
  <c r="I30" i="18"/>
  <c r="J30" i="18" s="1"/>
  <c r="L30" i="18" s="1"/>
  <c r="I196" i="18"/>
  <c r="J196" i="18" s="1"/>
  <c r="L196" i="18" s="1"/>
  <c r="I134" i="18"/>
  <c r="J134" i="18" s="1"/>
  <c r="L134" i="18" s="1"/>
  <c r="I75" i="18"/>
  <c r="J75" i="18" s="1"/>
  <c r="L75" i="18" s="1"/>
  <c r="I201" i="18"/>
  <c r="J201" i="18" s="1"/>
  <c r="L201" i="18" s="1"/>
  <c r="I170" i="18"/>
  <c r="J170" i="18" s="1"/>
  <c r="L170" i="18" s="1"/>
  <c r="I110" i="18"/>
  <c r="J110" i="18" s="1"/>
  <c r="L110" i="18" s="1"/>
  <c r="I138" i="18"/>
  <c r="J138" i="18" s="1"/>
  <c r="L138" i="18" s="1"/>
  <c r="I100" i="18"/>
  <c r="J100" i="18" s="1"/>
  <c r="L100" i="18" s="1"/>
  <c r="I47" i="18"/>
  <c r="J47" i="18" s="1"/>
  <c r="L47" i="18" s="1"/>
  <c r="I77" i="18"/>
  <c r="J77" i="18" s="1"/>
  <c r="L77" i="18" s="1"/>
  <c r="I35" i="18"/>
  <c r="J35" i="18" s="1"/>
  <c r="L35" i="18" s="1"/>
  <c r="I204" i="18"/>
  <c r="J204" i="18" s="1"/>
  <c r="L204" i="18" s="1"/>
  <c r="I102" i="18"/>
  <c r="J102" i="18" s="1"/>
  <c r="L102" i="18" s="1"/>
  <c r="I89" i="18"/>
  <c r="J89" i="18" s="1"/>
  <c r="L89" i="18" s="1"/>
  <c r="I200" i="18"/>
  <c r="J200" i="18" s="1"/>
  <c r="L200" i="18" s="1"/>
  <c r="I133" i="18"/>
  <c r="J133" i="18" s="1"/>
  <c r="L133" i="18" s="1"/>
  <c r="I210" i="18"/>
  <c r="J210" i="18" s="1"/>
  <c r="L210" i="18" s="1"/>
  <c r="I144" i="18"/>
  <c r="J144" i="18" s="1"/>
  <c r="L144" i="18" s="1"/>
  <c r="I117" i="18"/>
  <c r="J117" i="18" s="1"/>
  <c r="L117" i="18" s="1"/>
  <c r="I118" i="18"/>
  <c r="J118" i="18" s="1"/>
  <c r="L118" i="18" s="1"/>
  <c r="I142" i="18"/>
  <c r="J142" i="18" s="1"/>
  <c r="L142" i="18" s="1"/>
  <c r="I188" i="18"/>
  <c r="J188" i="18" s="1"/>
  <c r="L188" i="18" s="1"/>
  <c r="I37" i="18"/>
  <c r="J37" i="18" s="1"/>
  <c r="L37" i="18" s="1"/>
  <c r="I209" i="18"/>
  <c r="J209" i="18" s="1"/>
  <c r="L209" i="18" s="1"/>
  <c r="I130" i="18"/>
  <c r="J130" i="18" s="1"/>
  <c r="L130" i="18" s="1"/>
  <c r="I73" i="18"/>
  <c r="J73" i="18" s="1"/>
  <c r="L73" i="18" s="1"/>
  <c r="I129" i="18"/>
  <c r="J129" i="18" s="1"/>
  <c r="L129" i="18" s="1"/>
  <c r="I147" i="18"/>
  <c r="J147" i="18" s="1"/>
  <c r="L147" i="18" s="1"/>
  <c r="I98" i="18"/>
  <c r="J98" i="18" s="1"/>
  <c r="L98" i="18" s="1"/>
  <c r="I109" i="18"/>
  <c r="J109" i="18" s="1"/>
  <c r="L109" i="18" s="1"/>
  <c r="I46" i="18"/>
  <c r="J46" i="18" s="1"/>
  <c r="L46" i="18" s="1"/>
  <c r="I70" i="18"/>
  <c r="J70" i="18" s="1"/>
  <c r="L70" i="18" s="1"/>
  <c r="I125" i="18"/>
  <c r="J125" i="18" s="1"/>
  <c r="L125" i="18" s="1"/>
  <c r="I92" i="18"/>
  <c r="J92" i="18" s="1"/>
  <c r="L92" i="18" s="1"/>
  <c r="I122" i="18"/>
  <c r="J122" i="18" s="1"/>
  <c r="L122" i="18" s="1"/>
  <c r="I167" i="18"/>
  <c r="J167" i="18" s="1"/>
  <c r="L167" i="18" s="1"/>
  <c r="I182" i="18"/>
  <c r="J182" i="18" s="1"/>
  <c r="L182" i="18" s="1"/>
  <c r="I164" i="18"/>
  <c r="J164" i="18" s="1"/>
  <c r="L164" i="18" s="1"/>
  <c r="I199" i="18"/>
  <c r="J199" i="18" s="1"/>
  <c r="L199" i="18" s="1"/>
  <c r="I55" i="18"/>
  <c r="J55" i="18" s="1"/>
  <c r="L55" i="18" s="1"/>
  <c r="I112" i="18"/>
  <c r="J112" i="18" s="1"/>
  <c r="L112" i="18" s="1"/>
  <c r="I108" i="18"/>
  <c r="J108" i="18" s="1"/>
  <c r="L108" i="18" s="1"/>
  <c r="I101" i="18"/>
  <c r="J101" i="18" s="1"/>
  <c r="L101" i="18" s="1"/>
  <c r="I29" i="18"/>
  <c r="J29" i="18" s="1"/>
  <c r="L29" i="18" s="1"/>
  <c r="I68" i="18"/>
  <c r="J68" i="18" s="1"/>
  <c r="L68" i="18" s="1"/>
  <c r="I131" i="18"/>
  <c r="J131" i="18" s="1"/>
  <c r="L131" i="18" s="1"/>
  <c r="I61" i="18"/>
  <c r="J61" i="18" s="1"/>
  <c r="L61" i="18" s="1"/>
  <c r="I160" i="18"/>
  <c r="J160" i="18" s="1"/>
  <c r="L160" i="18" s="1"/>
  <c r="I95" i="18"/>
  <c r="J95" i="18" s="1"/>
  <c r="L95" i="18" s="1"/>
  <c r="I38" i="18"/>
  <c r="J38" i="18" s="1"/>
  <c r="L38" i="18" s="1"/>
  <c r="I86" i="18"/>
  <c r="J86" i="18" s="1"/>
  <c r="L86" i="18" s="1"/>
  <c r="I141" i="18"/>
  <c r="J141" i="18" s="1"/>
  <c r="L141" i="18" s="1"/>
  <c r="I107" i="18"/>
  <c r="J107" i="18" s="1"/>
  <c r="L107" i="18" s="1"/>
  <c r="I127" i="18"/>
  <c r="J127" i="18" s="1"/>
  <c r="L127" i="18" s="1"/>
  <c r="I151" i="18"/>
  <c r="J151" i="18" s="1"/>
  <c r="L151" i="18" s="1"/>
  <c r="I57" i="18"/>
  <c r="J57" i="18" s="1"/>
  <c r="L57" i="18" s="1"/>
  <c r="I33" i="18"/>
  <c r="J33" i="18" s="1"/>
  <c r="L33" i="18" s="1"/>
  <c r="I113" i="18"/>
  <c r="J113" i="18" s="1"/>
  <c r="L113" i="18" s="1"/>
  <c r="I99" i="18"/>
  <c r="J99" i="18" s="1"/>
  <c r="L99" i="18" s="1"/>
  <c r="I211" i="18"/>
  <c r="J211" i="18" s="1"/>
  <c r="L211" i="18" s="1"/>
  <c r="I126" i="18"/>
  <c r="J126" i="18" s="1"/>
  <c r="L126" i="18" s="1"/>
  <c r="I145" i="18"/>
  <c r="J145" i="18" s="1"/>
  <c r="L145" i="18" s="1"/>
  <c r="I88" i="18"/>
  <c r="J88" i="18" s="1"/>
  <c r="L88" i="18" s="1"/>
  <c r="I119" i="18"/>
  <c r="J119" i="18" s="1"/>
  <c r="L119" i="18" s="1"/>
  <c r="I106" i="18"/>
  <c r="J106" i="18" s="1"/>
  <c r="L106" i="18" s="1"/>
  <c r="I93" i="18"/>
  <c r="J93" i="18" s="1"/>
  <c r="L93" i="18" s="1"/>
  <c r="I60" i="18"/>
  <c r="J60" i="18" s="1"/>
  <c r="L60" i="18" s="1"/>
  <c r="I176" i="18"/>
  <c r="J176" i="18" s="1"/>
  <c r="L176" i="18" s="1"/>
  <c r="I97" i="18"/>
  <c r="J97" i="18" s="1"/>
  <c r="L97" i="18" s="1"/>
  <c r="I63" i="18"/>
  <c r="J63" i="18" s="1"/>
  <c r="L63" i="18" s="1"/>
  <c r="I96" i="18"/>
  <c r="J96" i="18" s="1"/>
  <c r="L96" i="18" s="1"/>
  <c r="I136" i="18"/>
  <c r="J136" i="18" s="1"/>
  <c r="L136" i="18" s="1"/>
  <c r="I128" i="18"/>
  <c r="J128" i="18" s="1"/>
  <c r="L128" i="18" s="1"/>
  <c r="I153" i="18"/>
  <c r="J153" i="18" s="1"/>
  <c r="L153" i="18" s="1"/>
  <c r="I64" i="18"/>
  <c r="J64" i="18" s="1"/>
  <c r="L64" i="18" s="1"/>
  <c r="I69" i="18"/>
  <c r="J69" i="18" s="1"/>
  <c r="L69" i="18" s="1"/>
  <c r="I135" i="18"/>
  <c r="J135" i="18" s="1"/>
  <c r="L135" i="18" s="1"/>
  <c r="I178" i="18"/>
  <c r="J178" i="18" s="1"/>
  <c r="L178" i="18" s="1"/>
  <c r="I111" i="18"/>
  <c r="J111" i="18" s="1"/>
  <c r="L111" i="18" s="1"/>
  <c r="I161" i="18"/>
  <c r="J161" i="18" s="1"/>
  <c r="L161" i="18" s="1"/>
  <c r="I67" i="18"/>
  <c r="J67" i="18" s="1"/>
  <c r="L67" i="18" s="1"/>
  <c r="I27" i="18"/>
  <c r="J27" i="18" s="1"/>
  <c r="L27" i="18" s="1"/>
  <c r="I208" i="18"/>
  <c r="J208" i="18" s="1"/>
  <c r="L208" i="18" s="1"/>
  <c r="I179" i="18"/>
  <c r="J179" i="18" s="1"/>
  <c r="L179" i="18" s="1"/>
  <c r="I146" i="18"/>
  <c r="J146" i="18" s="1"/>
  <c r="L146" i="18" s="1"/>
  <c r="I169" i="18"/>
  <c r="J169" i="18" s="1"/>
  <c r="L169" i="18" s="1"/>
  <c r="I42" i="18"/>
  <c r="J42" i="18" s="1"/>
  <c r="L42" i="18" s="1"/>
  <c r="I41" i="18"/>
  <c r="J41" i="18" s="1"/>
  <c r="L41" i="18" s="1"/>
  <c r="I187" i="18"/>
  <c r="J187" i="18" s="1"/>
  <c r="L187" i="18" s="1"/>
  <c r="I72" i="18"/>
  <c r="J72" i="18" s="1"/>
  <c r="L72" i="18" s="1"/>
  <c r="I203" i="18"/>
  <c r="J203" i="18" s="1"/>
  <c r="L203" i="18" s="1"/>
  <c r="I54" i="18"/>
  <c r="J54" i="18" s="1"/>
  <c r="L54" i="18" s="1"/>
  <c r="I22" i="18"/>
  <c r="J22" i="18" s="1"/>
  <c r="L22" i="18" s="1"/>
  <c r="I207" i="18"/>
  <c r="J207" i="18" s="1"/>
  <c r="L207" i="18" s="1"/>
  <c r="I124" i="18"/>
  <c r="J124" i="18" s="1"/>
  <c r="L124" i="18" s="1"/>
  <c r="I28" i="18"/>
  <c r="J28" i="18" s="1"/>
  <c r="L28" i="18" s="1"/>
  <c r="I65" i="18"/>
  <c r="J65" i="18" s="1"/>
  <c r="L65" i="18" s="1"/>
  <c r="I31" i="18"/>
  <c r="J31" i="18" s="1"/>
  <c r="L31" i="18" s="1"/>
  <c r="I40" i="18"/>
  <c r="J40" i="18" s="1"/>
  <c r="L40" i="18" s="1"/>
  <c r="I114" i="18"/>
  <c r="J114" i="18" s="1"/>
  <c r="L114" i="18" s="1"/>
  <c r="I148" i="18"/>
  <c r="J148" i="18" s="1"/>
  <c r="L148" i="18" s="1"/>
  <c r="I62" i="18"/>
  <c r="J62" i="18" s="1"/>
  <c r="L62" i="18" s="1"/>
  <c r="I197" i="18"/>
  <c r="J197" i="18" s="1"/>
  <c r="L197" i="18" s="1"/>
  <c r="I166" i="18"/>
  <c r="J166" i="18" s="1"/>
  <c r="L166" i="18" s="1"/>
  <c r="I85" i="18"/>
  <c r="J85" i="18" s="1"/>
  <c r="L85" i="18" s="1"/>
  <c r="I156" i="18"/>
  <c r="J156" i="18" s="1"/>
  <c r="L156" i="18" s="1"/>
  <c r="I123" i="18"/>
  <c r="J123" i="18" s="1"/>
  <c r="L123" i="18" s="1"/>
  <c r="I154" i="18"/>
  <c r="J154" i="18" s="1"/>
  <c r="L154" i="18" s="1"/>
  <c r="I149" i="18"/>
  <c r="J149" i="18" s="1"/>
  <c r="L149" i="18" s="1"/>
  <c r="I171" i="18"/>
  <c r="J171" i="18" s="1"/>
  <c r="L171" i="18" s="1"/>
  <c r="I59" i="18"/>
  <c r="J59" i="18" s="1"/>
  <c r="L59" i="18" s="1"/>
  <c r="I195" i="18"/>
  <c r="J195" i="18" s="1"/>
  <c r="L195" i="18" s="1"/>
  <c r="I165" i="18"/>
  <c r="J165" i="18" s="1"/>
  <c r="L165" i="18" s="1"/>
  <c r="I181" i="18"/>
  <c r="J181" i="18" s="1"/>
  <c r="L181" i="18" s="1"/>
  <c r="I71" i="18"/>
  <c r="J71" i="18" s="1"/>
  <c r="L71" i="18" s="1"/>
  <c r="I143" i="18"/>
  <c r="J143" i="18" s="1"/>
  <c r="L143" i="18" s="1"/>
  <c r="I180" i="18"/>
  <c r="J180" i="18" s="1"/>
  <c r="L180" i="18" s="1"/>
  <c r="I36" i="18"/>
  <c r="J36" i="18" s="1"/>
  <c r="L36" i="18" s="1"/>
  <c r="I20" i="18"/>
  <c r="J20" i="18" s="1"/>
  <c r="I206" i="18"/>
  <c r="J206" i="18" s="1"/>
  <c r="L206" i="18" s="1"/>
  <c r="I43" i="18"/>
  <c r="J43" i="18" s="1"/>
  <c r="L43" i="18" s="1"/>
  <c r="I45" i="18"/>
  <c r="J45" i="18" s="1"/>
  <c r="L45" i="18" s="1"/>
  <c r="I74" i="18"/>
  <c r="J74" i="18" s="1"/>
  <c r="L74" i="18" s="1"/>
  <c r="I78" i="18"/>
  <c r="J78" i="18" s="1"/>
  <c r="L78" i="18" s="1"/>
  <c r="I190" i="18"/>
  <c r="J190" i="18" s="1"/>
  <c r="L190" i="18" s="1"/>
  <c r="I198" i="18"/>
  <c r="J198" i="18" s="1"/>
  <c r="L198" i="18" s="1"/>
  <c r="I34" i="18"/>
  <c r="J34" i="18" s="1"/>
  <c r="L34" i="18" s="1"/>
  <c r="I205" i="18"/>
  <c r="J205" i="18" s="1"/>
  <c r="L205" i="18" s="1"/>
  <c r="I116" i="18"/>
  <c r="J116" i="18" s="1"/>
  <c r="L116" i="18" s="1"/>
  <c r="I76" i="18"/>
  <c r="J76" i="18" s="1"/>
  <c r="L76" i="18" s="1"/>
  <c r="I163" i="18"/>
  <c r="J163" i="18" s="1"/>
  <c r="L163" i="18" s="1"/>
  <c r="I105" i="18"/>
  <c r="J105" i="18" s="1"/>
  <c r="L105" i="18" s="1"/>
  <c r="I174" i="18"/>
  <c r="J174" i="18" s="1"/>
  <c r="L174" i="18" s="1"/>
  <c r="I159" i="18"/>
  <c r="J159" i="18" s="1"/>
  <c r="L159" i="18" s="1"/>
  <c r="I186" i="18"/>
  <c r="J186" i="18" s="1"/>
  <c r="L186" i="18" s="1"/>
  <c r="I26" i="18"/>
  <c r="J26" i="18" s="1"/>
  <c r="L26" i="18" s="1"/>
  <c r="I173" i="18"/>
  <c r="J173" i="18" s="1"/>
  <c r="L173" i="18" s="1"/>
  <c r="I49" i="18"/>
  <c r="J49" i="18" s="1"/>
  <c r="L49" i="18" s="1"/>
  <c r="I104" i="18"/>
  <c r="J104" i="18" s="1"/>
  <c r="L104" i="18" s="1"/>
  <c r="I66" i="18"/>
  <c r="J66" i="18" s="1"/>
  <c r="L66" i="18" s="1"/>
  <c r="I177" i="18"/>
  <c r="J177" i="18" s="1"/>
  <c r="L177" i="18" s="1"/>
  <c r="I24" i="18"/>
  <c r="J24" i="18" s="1"/>
  <c r="L24" i="18" s="1"/>
  <c r="I82" i="18"/>
  <c r="J82" i="18" s="1"/>
  <c r="L82" i="18" s="1"/>
  <c r="I184" i="18"/>
  <c r="J184" i="18" s="1"/>
  <c r="L184" i="18" s="1"/>
  <c r="I56" i="18"/>
  <c r="J56" i="18" s="1"/>
  <c r="I83" i="18"/>
  <c r="J83" i="18" s="1"/>
  <c r="L83" i="18" s="1"/>
  <c r="I202" i="18"/>
  <c r="J202" i="18" s="1"/>
  <c r="L202" i="18" s="1"/>
  <c r="I50" i="18"/>
  <c r="J50" i="18" s="1"/>
  <c r="L50" i="18" s="1"/>
  <c r="I192" i="18"/>
  <c r="J192" i="18" s="1"/>
  <c r="L192" i="18" s="1"/>
  <c r="I32" i="18"/>
  <c r="J32" i="18" s="1"/>
  <c r="L32" i="18" s="1"/>
  <c r="I185" i="18"/>
  <c r="J185" i="18" s="1"/>
  <c r="L185" i="18" s="1"/>
  <c r="I51" i="18"/>
  <c r="J51" i="18" s="1"/>
  <c r="L51" i="18" s="1"/>
  <c r="I194" i="18"/>
  <c r="J194" i="18" s="1"/>
  <c r="L194" i="18" s="1"/>
  <c r="I52" i="18"/>
  <c r="J52" i="18" s="1"/>
  <c r="L52" i="18" s="1"/>
  <c r="I120" i="18"/>
  <c r="J120" i="18" s="1"/>
  <c r="L120" i="18" s="1"/>
  <c r="I79" i="18"/>
  <c r="J79" i="18" s="1"/>
  <c r="L79" i="18" s="1"/>
  <c r="I25" i="18"/>
  <c r="J25" i="18" s="1"/>
  <c r="L25" i="18" s="1"/>
  <c r="I193" i="18"/>
  <c r="J193" i="18" s="1"/>
  <c r="L193" i="18" s="1"/>
  <c r="I155" i="18"/>
  <c r="J155" i="18" s="1"/>
  <c r="L155" i="18" s="1"/>
  <c r="I183" i="18"/>
  <c r="J183" i="18" s="1"/>
  <c r="L183" i="18" s="1"/>
  <c r="I53" i="18"/>
  <c r="J53" i="18" s="1"/>
  <c r="L53" i="18" s="1"/>
  <c r="I168" i="18"/>
  <c r="J168" i="18" s="1"/>
  <c r="L168" i="18" s="1"/>
  <c r="I39" i="18"/>
  <c r="J39" i="18" s="1"/>
  <c r="L39" i="18" s="1"/>
  <c r="I158" i="18"/>
  <c r="J158" i="18" s="1"/>
  <c r="L158" i="18" s="1"/>
  <c r="I103" i="18"/>
  <c r="J103" i="18" s="1"/>
  <c r="L103" i="18" s="1"/>
  <c r="I87" i="18"/>
  <c r="J87" i="18" s="1"/>
  <c r="L87" i="18" s="1"/>
  <c r="I150" i="18"/>
  <c r="J150" i="18" s="1"/>
  <c r="L150" i="18" s="1"/>
  <c r="I81" i="18"/>
  <c r="J81" i="18" s="1"/>
  <c r="L81" i="18" s="1"/>
  <c r="I140" i="18"/>
  <c r="J140" i="18" s="1"/>
  <c r="L140" i="18" s="1"/>
  <c r="I48" i="18"/>
  <c r="J48" i="18" s="1"/>
  <c r="L48" i="18" s="1"/>
  <c r="I44" i="18"/>
  <c r="J44" i="18" s="1"/>
  <c r="L44" i="18" s="1"/>
  <c r="I21" i="18"/>
  <c r="J21" i="18" s="1"/>
  <c r="L21" i="18" s="1"/>
  <c r="I189" i="18"/>
  <c r="J189" i="18" s="1"/>
  <c r="L189" i="18" s="1"/>
  <c r="I80" i="18"/>
  <c r="J80" i="18" s="1"/>
  <c r="L80" i="18" s="1"/>
  <c r="I191" i="18"/>
  <c r="J191" i="18" s="1"/>
  <c r="L191" i="18" s="1"/>
  <c r="I23" i="18"/>
  <c r="J23" i="18" s="1"/>
  <c r="L23" i="18" s="1"/>
  <c r="I162" i="18"/>
  <c r="J162" i="18" s="1"/>
  <c r="L162" i="18" s="1"/>
  <c r="I84" i="18"/>
  <c r="J84" i="18" s="1"/>
  <c r="L84" i="18" s="1"/>
  <c r="I121" i="18"/>
  <c r="J121" i="18" s="1"/>
  <c r="L121" i="18" s="1"/>
  <c r="I172" i="18"/>
  <c r="J172" i="18" s="1"/>
  <c r="L172" i="18" s="1"/>
  <c r="I139" i="18"/>
  <c r="J139" i="18" s="1"/>
  <c r="L139" i="18" s="1"/>
  <c r="I90" i="18"/>
  <c r="J90" i="18" s="1"/>
  <c r="L90" i="18" s="1"/>
  <c r="I137" i="18"/>
  <c r="J137" i="18" s="1"/>
  <c r="L137" i="18" s="1"/>
  <c r="I152" i="18"/>
  <c r="J152" i="18" s="1"/>
  <c r="L152" i="18" s="1"/>
  <c r="I115" i="18"/>
  <c r="J115" i="18" s="1"/>
  <c r="L115" i="18" s="1"/>
  <c r="I91" i="18"/>
  <c r="J91" i="18" s="1"/>
  <c r="L91" i="18" s="1"/>
  <c r="I58" i="18"/>
  <c r="J58" i="18" s="1"/>
  <c r="L58" i="18" s="1"/>
  <c r="F14" i="29"/>
  <c r="I132" i="18"/>
  <c r="J132" i="18" s="1"/>
  <c r="L132" i="18" s="1"/>
  <c r="L20" i="18" l="1"/>
  <c r="J212" i="18"/>
  <c r="J14" i="18"/>
  <c r="J13" i="18"/>
  <c r="L56" i="18"/>
  <c r="L13" i="18" l="1"/>
  <c r="L14" i="18"/>
  <c r="L212" i="18"/>
  <c r="M154" i="18" l="1"/>
  <c r="N154" i="18" s="1"/>
  <c r="R154" i="18" s="1"/>
  <c r="M37" i="18"/>
  <c r="N37" i="18" s="1"/>
  <c r="R37" i="18" s="1"/>
  <c r="M195" i="18"/>
  <c r="N195" i="18" s="1"/>
  <c r="R195" i="18" s="1"/>
  <c r="M78" i="18"/>
  <c r="N78" i="18" s="1"/>
  <c r="R78" i="18" s="1"/>
  <c r="M53" i="18"/>
  <c r="N53" i="18" s="1"/>
  <c r="R53" i="18" s="1"/>
  <c r="M147" i="18"/>
  <c r="N147" i="18" s="1"/>
  <c r="R147" i="18" s="1"/>
  <c r="M100" i="18"/>
  <c r="N100" i="18" s="1"/>
  <c r="R100" i="18" s="1"/>
  <c r="M104" i="18"/>
  <c r="N104" i="18" s="1"/>
  <c r="R104" i="18" s="1"/>
  <c r="M136" i="18"/>
  <c r="N136" i="18" s="1"/>
  <c r="R136" i="18" s="1"/>
  <c r="M127" i="18"/>
  <c r="N127" i="18" s="1"/>
  <c r="R127" i="18" s="1"/>
  <c r="M55" i="18"/>
  <c r="N55" i="18" s="1"/>
  <c r="R55" i="18" s="1"/>
  <c r="M205" i="18"/>
  <c r="N205" i="18" s="1"/>
  <c r="R205" i="18" s="1"/>
  <c r="M57" i="18"/>
  <c r="N57" i="18" s="1"/>
  <c r="R57" i="18" s="1"/>
  <c r="M141" i="18"/>
  <c r="N141" i="18" s="1"/>
  <c r="R141" i="18" s="1"/>
  <c r="M51" i="18"/>
  <c r="N51" i="18" s="1"/>
  <c r="R51" i="18" s="1"/>
  <c r="M186" i="18"/>
  <c r="N186" i="18" s="1"/>
  <c r="R186" i="18" s="1"/>
  <c r="M25" i="18"/>
  <c r="N25" i="18" s="1"/>
  <c r="R25" i="18" s="1"/>
  <c r="M80" i="18"/>
  <c r="N80" i="18" s="1"/>
  <c r="R80" i="18" s="1"/>
  <c r="M209" i="18"/>
  <c r="N209" i="18" s="1"/>
  <c r="R209" i="18" s="1"/>
  <c r="M160" i="18"/>
  <c r="N160" i="18" s="1"/>
  <c r="R160" i="18" s="1"/>
  <c r="M124" i="18"/>
  <c r="N124" i="18" s="1"/>
  <c r="R124" i="18" s="1"/>
  <c r="M81" i="18"/>
  <c r="N81" i="18" s="1"/>
  <c r="R81" i="18" s="1"/>
  <c r="M103" i="18"/>
  <c r="N103" i="18" s="1"/>
  <c r="R103" i="18" s="1"/>
  <c r="M46" i="18"/>
  <c r="N46" i="18" s="1"/>
  <c r="R46" i="18" s="1"/>
  <c r="M35" i="18"/>
  <c r="N35" i="18" s="1"/>
  <c r="R35" i="18" s="1"/>
  <c r="M137" i="18"/>
  <c r="N137" i="18" s="1"/>
  <c r="R137" i="18" s="1"/>
  <c r="M189" i="18"/>
  <c r="N189" i="18" s="1"/>
  <c r="R189" i="18" s="1"/>
  <c r="M157" i="18"/>
  <c r="N157" i="18" s="1"/>
  <c r="R157" i="18" s="1"/>
  <c r="M112" i="18"/>
  <c r="N112" i="18" s="1"/>
  <c r="R112" i="18" s="1"/>
  <c r="M102" i="18"/>
  <c r="N102" i="18" s="1"/>
  <c r="R102" i="18" s="1"/>
  <c r="M182" i="18"/>
  <c r="N182" i="18" s="1"/>
  <c r="R182" i="18" s="1"/>
  <c r="M203" i="18"/>
  <c r="N203" i="18" s="1"/>
  <c r="R203" i="18" s="1"/>
  <c r="M119" i="18"/>
  <c r="N119" i="18" s="1"/>
  <c r="R119" i="18" s="1"/>
  <c r="M201" i="18"/>
  <c r="N201" i="18" s="1"/>
  <c r="R201" i="18" s="1"/>
  <c r="M163" i="18"/>
  <c r="N163" i="18" s="1"/>
  <c r="R163" i="18" s="1"/>
  <c r="M82" i="18"/>
  <c r="N82" i="18" s="1"/>
  <c r="R82" i="18" s="1"/>
  <c r="M22" i="18"/>
  <c r="N22" i="18" s="1"/>
  <c r="R22" i="18" s="1"/>
  <c r="M31" i="18"/>
  <c r="N31" i="18" s="1"/>
  <c r="R31" i="18" s="1"/>
  <c r="M52" i="18"/>
  <c r="N52" i="18" s="1"/>
  <c r="R52" i="18" s="1"/>
  <c r="M86" i="18"/>
  <c r="N86" i="18" s="1"/>
  <c r="R86" i="18" s="1"/>
  <c r="M114" i="18"/>
  <c r="N114" i="18" s="1"/>
  <c r="R114" i="18" s="1"/>
  <c r="M95" i="18"/>
  <c r="N95" i="18" s="1"/>
  <c r="R95" i="18" s="1"/>
  <c r="M144" i="18"/>
  <c r="N144" i="18" s="1"/>
  <c r="R144" i="18" s="1"/>
  <c r="M135" i="18"/>
  <c r="N135" i="18" s="1"/>
  <c r="R135" i="18" s="1"/>
  <c r="M171" i="18"/>
  <c r="N171" i="18" s="1"/>
  <c r="R171" i="18" s="1"/>
  <c r="M168" i="18"/>
  <c r="N168" i="18" s="1"/>
  <c r="R168" i="18" s="1"/>
  <c r="M120" i="18"/>
  <c r="N120" i="18" s="1"/>
  <c r="R120" i="18" s="1"/>
  <c r="M79" i="18"/>
  <c r="N79" i="18" s="1"/>
  <c r="R79" i="18" s="1"/>
  <c r="M140" i="18"/>
  <c r="N140" i="18" s="1"/>
  <c r="R140" i="18" s="1"/>
  <c r="M193" i="18"/>
  <c r="N193" i="18" s="1"/>
  <c r="R193" i="18" s="1"/>
  <c r="M89" i="18"/>
  <c r="N89" i="18" s="1"/>
  <c r="R89" i="18" s="1"/>
  <c r="M116" i="18"/>
  <c r="N116" i="18" s="1"/>
  <c r="R116" i="18" s="1"/>
  <c r="M206" i="18"/>
  <c r="N206" i="18" s="1"/>
  <c r="R206" i="18" s="1"/>
  <c r="M60" i="18"/>
  <c r="N60" i="18" s="1"/>
  <c r="R60" i="18" s="1"/>
  <c r="M170" i="18"/>
  <c r="N170" i="18" s="1"/>
  <c r="R170" i="18" s="1"/>
  <c r="M64" i="18"/>
  <c r="N64" i="18" s="1"/>
  <c r="R64" i="18" s="1"/>
  <c r="M110" i="18"/>
  <c r="N110" i="18" s="1"/>
  <c r="R110" i="18" s="1"/>
  <c r="M150" i="18"/>
  <c r="N150" i="18" s="1"/>
  <c r="R150" i="18" s="1"/>
  <c r="M56" i="18"/>
  <c r="M162" i="18"/>
  <c r="N162" i="18" s="1"/>
  <c r="R162" i="18" s="1"/>
  <c r="M71" i="18"/>
  <c r="N71" i="18" s="1"/>
  <c r="R71" i="18" s="1"/>
  <c r="M174" i="18"/>
  <c r="N174" i="18" s="1"/>
  <c r="R174" i="18" s="1"/>
  <c r="M132" i="18"/>
  <c r="N132" i="18" s="1"/>
  <c r="R132" i="18" s="1"/>
  <c r="M153" i="18"/>
  <c r="N153" i="18" s="1"/>
  <c r="R153" i="18" s="1"/>
  <c r="M196" i="18"/>
  <c r="N196" i="18" s="1"/>
  <c r="R196" i="18" s="1"/>
  <c r="M77" i="18"/>
  <c r="N77" i="18" s="1"/>
  <c r="R77" i="18" s="1"/>
  <c r="M194" i="18"/>
  <c r="N194" i="18" s="1"/>
  <c r="R194" i="18" s="1"/>
  <c r="M68" i="18"/>
  <c r="N68" i="18" s="1"/>
  <c r="R68" i="18" s="1"/>
  <c r="M48" i="18"/>
  <c r="N48" i="18" s="1"/>
  <c r="R48" i="18" s="1"/>
  <c r="M23" i="18"/>
  <c r="N23" i="18" s="1"/>
  <c r="R23" i="18" s="1"/>
  <c r="M62" i="18"/>
  <c r="N62" i="18" s="1"/>
  <c r="R62" i="18" s="1"/>
  <c r="M54" i="18"/>
  <c r="N54" i="18" s="1"/>
  <c r="R54" i="18" s="1"/>
  <c r="M211" i="18"/>
  <c r="N211" i="18" s="1"/>
  <c r="R211" i="18" s="1"/>
  <c r="M183" i="18"/>
  <c r="N183" i="18" s="1"/>
  <c r="R183" i="18" s="1"/>
  <c r="M69" i="18"/>
  <c r="N69" i="18" s="1"/>
  <c r="R69" i="18" s="1"/>
  <c r="M173" i="18"/>
  <c r="N173" i="18" s="1"/>
  <c r="R173" i="18" s="1"/>
  <c r="M66" i="18"/>
  <c r="N66" i="18" s="1"/>
  <c r="R66" i="18" s="1"/>
  <c r="M172" i="18"/>
  <c r="N172" i="18" s="1"/>
  <c r="R172" i="18" s="1"/>
  <c r="M85" i="18"/>
  <c r="N85" i="18" s="1"/>
  <c r="R85" i="18" s="1"/>
  <c r="M156" i="18"/>
  <c r="N156" i="18" s="1"/>
  <c r="R156" i="18" s="1"/>
  <c r="M93" i="18"/>
  <c r="N93" i="18" s="1"/>
  <c r="R93" i="18" s="1"/>
  <c r="M188" i="18"/>
  <c r="N188" i="18" s="1"/>
  <c r="R188" i="18" s="1"/>
  <c r="M149" i="18"/>
  <c r="N149" i="18" s="1"/>
  <c r="R149" i="18" s="1"/>
  <c r="M44" i="18"/>
  <c r="N44" i="18" s="1"/>
  <c r="R44" i="18" s="1"/>
  <c r="M21" i="18"/>
  <c r="N21" i="18" s="1"/>
  <c r="R21" i="18" s="1"/>
  <c r="M34" i="18"/>
  <c r="N34" i="18" s="1"/>
  <c r="R34" i="18" s="1"/>
  <c r="M113" i="18"/>
  <c r="N113" i="18" s="1"/>
  <c r="R113" i="18" s="1"/>
  <c r="M70" i="18"/>
  <c r="N70" i="18" s="1"/>
  <c r="R70" i="18" s="1"/>
  <c r="M27" i="18"/>
  <c r="N27" i="18" s="1"/>
  <c r="R27" i="18" s="1"/>
  <c r="M145" i="18"/>
  <c r="N145" i="18" s="1"/>
  <c r="R145" i="18" s="1"/>
  <c r="M192" i="18"/>
  <c r="N192" i="18" s="1"/>
  <c r="R192" i="18" s="1"/>
  <c r="M33" i="18"/>
  <c r="N33" i="18" s="1"/>
  <c r="R33" i="18" s="1"/>
  <c r="M210" i="18"/>
  <c r="N210" i="18" s="1"/>
  <c r="R210" i="18" s="1"/>
  <c r="M26" i="18"/>
  <c r="N26" i="18" s="1"/>
  <c r="R26" i="18" s="1"/>
  <c r="M184" i="18"/>
  <c r="N184" i="18" s="1"/>
  <c r="R184" i="18" s="1"/>
  <c r="M208" i="18"/>
  <c r="N208" i="18" s="1"/>
  <c r="R208" i="18" s="1"/>
  <c r="M180" i="18"/>
  <c r="N180" i="18" s="1"/>
  <c r="R180" i="18" s="1"/>
  <c r="M177" i="18"/>
  <c r="N177" i="18" s="1"/>
  <c r="R177" i="18" s="1"/>
  <c r="M198" i="18"/>
  <c r="N198" i="18" s="1"/>
  <c r="R198" i="18" s="1"/>
  <c r="M30" i="18"/>
  <c r="N30" i="18" s="1"/>
  <c r="R30" i="18" s="1"/>
  <c r="M117" i="18"/>
  <c r="N117" i="18" s="1"/>
  <c r="R117" i="18" s="1"/>
  <c r="M207" i="18"/>
  <c r="N207" i="18" s="1"/>
  <c r="R207" i="18" s="1"/>
  <c r="M87" i="18"/>
  <c r="N87" i="18" s="1"/>
  <c r="R87" i="18" s="1"/>
  <c r="M169" i="18"/>
  <c r="N169" i="18" s="1"/>
  <c r="R169" i="18" s="1"/>
  <c r="M181" i="18"/>
  <c r="N181" i="18" s="1"/>
  <c r="R181" i="18" s="1"/>
  <c r="M148" i="18"/>
  <c r="N148" i="18" s="1"/>
  <c r="R148" i="18" s="1"/>
  <c r="M49" i="18"/>
  <c r="N49" i="18" s="1"/>
  <c r="R49" i="18" s="1"/>
  <c r="M92" i="18"/>
  <c r="N92" i="18" s="1"/>
  <c r="R92" i="18" s="1"/>
  <c r="M176" i="18"/>
  <c r="N176" i="18" s="1"/>
  <c r="R176" i="18" s="1"/>
  <c r="M129" i="18"/>
  <c r="N129" i="18" s="1"/>
  <c r="R129" i="18" s="1"/>
  <c r="M72" i="18"/>
  <c r="N72" i="18" s="1"/>
  <c r="R72" i="18" s="1"/>
  <c r="M24" i="18"/>
  <c r="N24" i="18" s="1"/>
  <c r="R24" i="18" s="1"/>
  <c r="M179" i="18"/>
  <c r="N179" i="18" s="1"/>
  <c r="R179" i="18" s="1"/>
  <c r="M146" i="18"/>
  <c r="N146" i="18" s="1"/>
  <c r="R146" i="18" s="1"/>
  <c r="M175" i="18"/>
  <c r="N175" i="18" s="1"/>
  <c r="R175" i="18" s="1"/>
  <c r="M164" i="18"/>
  <c r="N164" i="18" s="1"/>
  <c r="R164" i="18" s="1"/>
  <c r="M39" i="18"/>
  <c r="N39" i="18" s="1"/>
  <c r="R39" i="18" s="1"/>
  <c r="M151" i="18"/>
  <c r="N151" i="18" s="1"/>
  <c r="R151" i="18" s="1"/>
  <c r="M155" i="18"/>
  <c r="N155" i="18" s="1"/>
  <c r="R155" i="18" s="1"/>
  <c r="M88" i="18"/>
  <c r="N88" i="18" s="1"/>
  <c r="R88" i="18" s="1"/>
  <c r="M29" i="18"/>
  <c r="N29" i="18" s="1"/>
  <c r="R29" i="18" s="1"/>
  <c r="M96" i="18"/>
  <c r="N96" i="18" s="1"/>
  <c r="R96" i="18" s="1"/>
  <c r="M36" i="18"/>
  <c r="N36" i="18" s="1"/>
  <c r="R36" i="18" s="1"/>
  <c r="M123" i="18"/>
  <c r="N123" i="18" s="1"/>
  <c r="R123" i="18" s="1"/>
  <c r="M73" i="18"/>
  <c r="N73" i="18" s="1"/>
  <c r="R73" i="18" s="1"/>
  <c r="M47" i="18"/>
  <c r="N47" i="18" s="1"/>
  <c r="R47" i="18" s="1"/>
  <c r="M158" i="18"/>
  <c r="N158" i="18" s="1"/>
  <c r="R158" i="18" s="1"/>
  <c r="M161" i="18"/>
  <c r="N161" i="18" s="1"/>
  <c r="R161" i="18" s="1"/>
  <c r="M121" i="18"/>
  <c r="N121" i="18" s="1"/>
  <c r="R121" i="18" s="1"/>
  <c r="M45" i="18"/>
  <c r="N45" i="18" s="1"/>
  <c r="R45" i="18" s="1"/>
  <c r="M20" i="18"/>
  <c r="M204" i="18"/>
  <c r="N204" i="18" s="1"/>
  <c r="R204" i="18" s="1"/>
  <c r="M166" i="18"/>
  <c r="N166" i="18" s="1"/>
  <c r="R166" i="18" s="1"/>
  <c r="M97" i="18"/>
  <c r="N97" i="18" s="1"/>
  <c r="R97" i="18" s="1"/>
  <c r="M75" i="18"/>
  <c r="N75" i="18" s="1"/>
  <c r="R75" i="18" s="1"/>
  <c r="M50" i="18"/>
  <c r="N50" i="18" s="1"/>
  <c r="R50" i="18" s="1"/>
  <c r="M199" i="18"/>
  <c r="N199" i="18" s="1"/>
  <c r="R199" i="18" s="1"/>
  <c r="M42" i="18"/>
  <c r="N42" i="18" s="1"/>
  <c r="R42" i="18" s="1"/>
  <c r="M90" i="18"/>
  <c r="N90" i="18" s="1"/>
  <c r="R90" i="18" s="1"/>
  <c r="M128" i="18"/>
  <c r="N128" i="18" s="1"/>
  <c r="R128" i="18" s="1"/>
  <c r="M101" i="18"/>
  <c r="N101" i="18" s="1"/>
  <c r="R101" i="18" s="1"/>
  <c r="M133" i="18"/>
  <c r="N133" i="18" s="1"/>
  <c r="R133" i="18" s="1"/>
  <c r="M187" i="18"/>
  <c r="N187" i="18" s="1"/>
  <c r="R187" i="18" s="1"/>
  <c r="M67" i="18"/>
  <c r="N67" i="18" s="1"/>
  <c r="R67" i="18" s="1"/>
  <c r="M125" i="18"/>
  <c r="N125" i="18" s="1"/>
  <c r="R125" i="18" s="1"/>
  <c r="M122" i="18"/>
  <c r="N122" i="18" s="1"/>
  <c r="R122" i="18" s="1"/>
  <c r="M200" i="18"/>
  <c r="N200" i="18" s="1"/>
  <c r="R200" i="18" s="1"/>
  <c r="M178" i="18"/>
  <c r="N178" i="18" s="1"/>
  <c r="R178" i="18" s="1"/>
  <c r="M143" i="18"/>
  <c r="N143" i="18" s="1"/>
  <c r="R143" i="18" s="1"/>
  <c r="M43" i="18"/>
  <c r="N43" i="18" s="1"/>
  <c r="R43" i="18" s="1"/>
  <c r="M138" i="18"/>
  <c r="N138" i="18" s="1"/>
  <c r="R138" i="18" s="1"/>
  <c r="M38" i="18"/>
  <c r="N38" i="18" s="1"/>
  <c r="R38" i="18" s="1"/>
  <c r="M94" i="18"/>
  <c r="N94" i="18" s="1"/>
  <c r="R94" i="18" s="1"/>
  <c r="M83" i="18"/>
  <c r="N83" i="18" s="1"/>
  <c r="R83" i="18" s="1"/>
  <c r="M115" i="18"/>
  <c r="N115" i="18" s="1"/>
  <c r="R115" i="18" s="1"/>
  <c r="M59" i="18"/>
  <c r="N59" i="18" s="1"/>
  <c r="R59" i="18" s="1"/>
  <c r="M106" i="18"/>
  <c r="N106" i="18" s="1"/>
  <c r="R106" i="18" s="1"/>
  <c r="M197" i="18"/>
  <c r="N197" i="18" s="1"/>
  <c r="R197" i="18" s="1"/>
  <c r="M130" i="18"/>
  <c r="N130" i="18" s="1"/>
  <c r="R130" i="18" s="1"/>
  <c r="M84" i="18"/>
  <c r="N84" i="18" s="1"/>
  <c r="R84" i="18" s="1"/>
  <c r="M167" i="18"/>
  <c r="N167" i="18" s="1"/>
  <c r="R167" i="18" s="1"/>
  <c r="M185" i="18"/>
  <c r="N185" i="18" s="1"/>
  <c r="R185" i="18" s="1"/>
  <c r="M126" i="18"/>
  <c r="N126" i="18" s="1"/>
  <c r="R126" i="18" s="1"/>
  <c r="M139" i="18"/>
  <c r="N139" i="18" s="1"/>
  <c r="R139" i="18" s="1"/>
  <c r="M65" i="18"/>
  <c r="N65" i="18" s="1"/>
  <c r="R65" i="18" s="1"/>
  <c r="M165" i="18"/>
  <c r="N165" i="18" s="1"/>
  <c r="R165" i="18" s="1"/>
  <c r="M40" i="18"/>
  <c r="N40" i="18" s="1"/>
  <c r="R40" i="18" s="1"/>
  <c r="M142" i="18"/>
  <c r="N142" i="18" s="1"/>
  <c r="R142" i="18" s="1"/>
  <c r="M159" i="18"/>
  <c r="N159" i="18" s="1"/>
  <c r="R159" i="18" s="1"/>
  <c r="M191" i="18"/>
  <c r="N191" i="18" s="1"/>
  <c r="R191" i="18" s="1"/>
  <c r="M61" i="18"/>
  <c r="N61" i="18" s="1"/>
  <c r="R61" i="18" s="1"/>
  <c r="M58" i="18"/>
  <c r="N58" i="18" s="1"/>
  <c r="R58" i="18" s="1"/>
  <c r="M118" i="18"/>
  <c r="N118" i="18" s="1"/>
  <c r="R118" i="18" s="1"/>
  <c r="M202" i="18"/>
  <c r="N202" i="18" s="1"/>
  <c r="R202" i="18" s="1"/>
  <c r="M76" i="18"/>
  <c r="N76" i="18" s="1"/>
  <c r="R76" i="18" s="1"/>
  <c r="M74" i="18"/>
  <c r="N74" i="18" s="1"/>
  <c r="R74" i="18" s="1"/>
  <c r="M131" i="18"/>
  <c r="N131" i="18" s="1"/>
  <c r="R131" i="18" s="1"/>
  <c r="M28" i="18"/>
  <c r="N28" i="18" s="1"/>
  <c r="R28" i="18" s="1"/>
  <c r="M41" i="18"/>
  <c r="N41" i="18" s="1"/>
  <c r="R41" i="18" s="1"/>
  <c r="M190" i="18"/>
  <c r="N190" i="18" s="1"/>
  <c r="R190" i="18" s="1"/>
  <c r="M111" i="18"/>
  <c r="N111" i="18" s="1"/>
  <c r="R111" i="18" s="1"/>
  <c r="M98" i="18"/>
  <c r="N98" i="18" s="1"/>
  <c r="R98" i="18" s="1"/>
  <c r="M107" i="18"/>
  <c r="N107" i="18" s="1"/>
  <c r="R107" i="18" s="1"/>
  <c r="M32" i="18"/>
  <c r="N32" i="18" s="1"/>
  <c r="R32" i="18" s="1"/>
  <c r="M105" i="18"/>
  <c r="N105" i="18" s="1"/>
  <c r="R105" i="18" s="1"/>
  <c r="M134" i="18"/>
  <c r="N134" i="18" s="1"/>
  <c r="R134" i="18" s="1"/>
  <c r="M99" i="18"/>
  <c r="N99" i="18" s="1"/>
  <c r="R99" i="18" s="1"/>
  <c r="M152" i="18"/>
  <c r="N152" i="18" s="1"/>
  <c r="R152" i="18" s="1"/>
  <c r="M109" i="18"/>
  <c r="N109" i="18" s="1"/>
  <c r="R109" i="18" s="1"/>
  <c r="M63" i="18"/>
  <c r="N63" i="18" s="1"/>
  <c r="R63" i="18" s="1"/>
  <c r="M108" i="18"/>
  <c r="N108" i="18" s="1"/>
  <c r="R108" i="18" s="1"/>
  <c r="M91" i="18"/>
  <c r="N91" i="18" s="1"/>
  <c r="R91" i="18" s="1"/>
  <c r="M212" i="18" l="1"/>
  <c r="N20" i="18"/>
  <c r="M13" i="18"/>
  <c r="N56" i="18"/>
  <c r="R56" i="18" l="1"/>
  <c r="R13" i="18" s="1"/>
  <c r="N13" i="18"/>
  <c r="R20" i="18"/>
  <c r="N14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<sst xmlns="http://schemas.openxmlformats.org/spreadsheetml/2006/main" count="421" uniqueCount="105">
  <si>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</si>
  <si>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</si>
  <si>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</si>
  <si>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</si>
  <si>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</si>
  <si>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</si>
  <si>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</si>
  <si>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</si>
  <si>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</si>
  <si>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</si>
  <si>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</si>
  <si>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</si>
  <si>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</si>
  <si>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</si>
  <si>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</si>
  <si>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</si>
  <si>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</si>
  <si>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</si>
  <si>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</si>
  <si>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</si>
  <si>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</si>
  <si>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</si>
  <si>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</si>
  <si>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</si>
  <si>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</si>
  <si>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</si>
  <si>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</si>
  <si>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</si>
  <si>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</si>
  <si>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</si>
  <si>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</si>
  <si>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</si>
  <si>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</si>
  <si>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</si>
  <si>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</si>
  <si>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</si>
  <si>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</si>
  <si>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</si>
  <si>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</si>
  <si>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</si>
  <si>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</si>
  <si>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</si>
  <si>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</si>
  <si>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</si>
  <si>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</si>
  <si>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</si>
  <si>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</si>
  <si>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</si>
  <si>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</si>
  <si>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</si>
  <si>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</si>
  <si>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</si>
  <si>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</si>
  <si>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</si>
  <si>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</si>
  <si>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</si>
  <si>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</si>
  <si>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</si>
  <si>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</si>
  <si>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</si>
  <si>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</si>
  <si>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</si>
  <si>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</si>
  <si>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</si>
  <si>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</si>
  <si>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</si>
  <si>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</si>
  <si>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</si>
  <si>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</si>
  <si>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</si>
  <si>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</si>
  <si>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</si>
  <si>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</si>
  <si>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</si>
  <si>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</si>
  <si>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</si>
  <si>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</si>
  <si>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</si>
  <si>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</si>
  <si>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</si>
  <si>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</si>
  <si>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</si>
  <si>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</si>
  <si>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</si>
  <si>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</si>
  <si>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</si>
  <si>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</si>
  <si>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</si>
  <si>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</si>
  <si>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</si>
  <si>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</si>
  <si>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</si>
  <si>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</si>
  <si>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</si>
  <si>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</si>
  <si>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</si>
  <si>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AEPTCo Formula Rate -- FERC Docket ER18-195</t>
  </si>
  <si>
    <t>Network Customer True-Up (Schedule 1 charges)</t>
  </si>
  <si>
    <t>2020 True Up Including Interest</t>
  </si>
  <si>
    <t>2019 Tax True Up</t>
  </si>
  <si>
    <t>2017 ROE Refund</t>
  </si>
  <si>
    <r>
      <t>2021 True-Up
(</t>
    </r>
    <r>
      <rPr>
        <sz val="10"/>
        <rFont val="Arial"/>
        <family val="2"/>
      </rPr>
      <t>w/o Interest)</t>
    </r>
  </si>
  <si>
    <t>2021 Interest</t>
  </si>
  <si>
    <t>Total 2021
True-Up Surcharge / (Refund)</t>
  </si>
  <si>
    <t>Total NITS Surcharge /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</si>
</sst>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5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6" fontId="14" fillId="0" borderId="43" xfId="0" applyNumberFormat="1" applyFont="1" applyBorder="1" applyProtection="1"/>
    <xf numFmtId="166" fontId="14" fillId="0" borderId="0" xfId="0" applyNumberFormat="1" applyFont="1" applyProtection="1"/>
    <xf numFmtId="166" fontId="14" fillId="0" borderId="44" xfId="0" applyNumberFormat="1" applyFont="1" applyBorder="1" applyProtection="1"/>
    <xf numFmtId="166" fontId="14" fillId="0" borderId="38" xfId="0" applyNumberFormat="1" applyFont="1" applyBorder="1" applyProtection="1"/>
    <xf numFmtId="166" fontId="14" fillId="0" borderId="41" xfId="0" applyNumberFormat="1" applyFont="1" applyBorder="1" applyProtection="1"/>
    <xf numFmtId="166" fontId="14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7040" refreshedDate="44710.801480092596" createdVersion="6" refreshedVersion="7" recordCount="192" xr:uid="{00000000-000A-0000-FFFF-FFFFDA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1-12-02T00:00:00" count="14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1-02-03T00:00:00" maxDate="2022-01-06T00:00:00"/>
    </cacheField>
    <cacheField name="Payment Received*" numFmtId="14">
      <sharedItems containsSemiMixedTypes="0" containsNonDate="0" containsDate="1" containsString="0" minDate="2021-02-24T00:00:00" maxDate="2022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29"/>
    </cacheField>
    <cacheField name="Projected Rate (as Invoiced)" numFmtId="164">
      <sharedItems containsSemiMixedTypes="0" containsString="0" containsNumber="1" minValue="7.0559102035395256" maxValue="7.0559102035395256"/>
    </cacheField>
    <cacheField name="Actual True-Up Rate" numFmtId="164">
      <sharedItems containsSemiMixedTypes="0" containsString="0" containsNumber="1" minValue="5.1121348776600728" maxValue="5.1121348776600728"/>
    </cacheField>
    <cacheField name="True-Up Charge" numFmtId="164">
      <sharedItems containsSemiMixedTypes="0" containsString="0" containsNumber="1" minValue="5.1121348776600728" maxValue="20596.791422092432"/>
    </cacheField>
    <cacheField name="Invoiced*** Charge (proj.)" numFmtId="164">
      <sharedItems containsSemiMixedTypes="0" containsString="0" containsNumber="1" minValue="7.0559102035395256" maxValue="28428.262210060748"/>
    </cacheField>
    <cacheField name="True-Up w/o Interest" numFmtId="164">
      <sharedItems containsSemiMixedTypes="0" containsString="0" containsNumber="1" minValue="-7831.4707879683156" maxValue="-1.9437753258794528"/>
    </cacheField>
    <cacheField name="Interest" numFmtId="164">
      <sharedItems containsSemiMixedTypes="0" containsString="0" containsNumber="1" minValue="-249.91279199768786" maxValue="-6.202849143650728E-2"/>
    </cacheField>
    <cacheField name="2020 True Up Including Interest" numFmtId="164">
      <sharedItems containsSemiMixedTypes="0" containsString="0" containsNumber="1" minValue="-8081.3835799660037" maxValue="-2.00580381731596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8081.3835799660037" maxValue="-2.005803817315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1-02-03T00:00:00"/>
    <d v="2021-02-24T00:00:00"/>
    <x v="0"/>
    <n v="9"/>
    <n v="2536"/>
    <n v="7.0559102035395256"/>
    <n v="5.1121348776600728"/>
    <n v="12964.374049745944"/>
    <n v="17893.788276176238"/>
    <n v="-4929.4142264302936"/>
    <n v="-157.30425428298247"/>
    <n v="-5086.7184807132762"/>
    <n v="0"/>
    <n v="0"/>
    <n v="0"/>
    <n v="-5086.7184807132762"/>
  </r>
  <r>
    <x v="1"/>
    <d v="2021-03-03T00:00:00"/>
    <d v="2021-03-24T00:00:00"/>
    <x v="0"/>
    <n v="9"/>
    <n v="2976"/>
    <n v="7.0559102035395256"/>
    <n v="5.1121348776600728"/>
    <n v="15213.713395916377"/>
    <n v="20998.388765733627"/>
    <n v="-5784.6753698172506"/>
    <n v="-184.59679051504568"/>
    <n v="-5969.2721603322962"/>
    <n v="0"/>
    <n v="0"/>
    <n v="0"/>
    <n v="-5969.2721603322962"/>
  </r>
  <r>
    <x v="2"/>
    <d v="2021-04-05T00:00:00"/>
    <d v="2021-04-26T00:00:00"/>
    <x v="0"/>
    <n v="9"/>
    <n v="2203"/>
    <n v="7.0559102035395256"/>
    <n v="5.1121348776600728"/>
    <n v="11262.033135485141"/>
    <n v="15544.170178397575"/>
    <n v="-4282.1370429124345"/>
    <n v="-136.64876663462556"/>
    <n v="-4418.7858095470601"/>
    <n v="0"/>
    <n v="0"/>
    <n v="0"/>
    <n v="-4418.7858095470601"/>
  </r>
  <r>
    <x v="3"/>
    <d v="2021-05-05T00:00:00"/>
    <d v="2021-05-24T00:00:00"/>
    <x v="0"/>
    <n v="9"/>
    <n v="2146"/>
    <n v="7.0559102035395256"/>
    <n v="5.1121348776600728"/>
    <n v="10970.641447458516"/>
    <n v="15141.983296795823"/>
    <n v="-4171.3418493373065"/>
    <n v="-133.11314262274465"/>
    <n v="-4304.4549919600513"/>
    <n v="0"/>
    <n v="0"/>
    <n v="0"/>
    <n v="-4304.4549919600513"/>
  </r>
  <r>
    <x v="4"/>
    <d v="2021-06-03T00:00:00"/>
    <d v="2021-06-24T00:00:00"/>
    <x v="0"/>
    <n v="9"/>
    <n v="2961"/>
    <n v="7.0559102035395256"/>
    <n v="5.1121348776600728"/>
    <n v="15137.031372751475"/>
    <n v="20892.550112680536"/>
    <n v="-5755.5187399290608"/>
    <n v="-183.66636314349807"/>
    <n v="-5939.1851030725593"/>
    <n v="0"/>
    <n v="0"/>
    <n v="0"/>
    <n v="-5939.1851030725593"/>
  </r>
  <r>
    <x v="5"/>
    <d v="2021-07-06T00:00:00"/>
    <d v="2021-07-24T00:00:00"/>
    <x v="0"/>
    <n v="9"/>
    <n v="3827"/>
    <n v="7.0559102035395256"/>
    <n v="5.1121348776600728"/>
    <n v="19564.1401768051"/>
    <n v="27002.968348945764"/>
    <n v="-7438.8281721406638"/>
    <n v="-237.38303672751337"/>
    <n v="-7676.211208868177"/>
    <n v="0"/>
    <n v="0"/>
    <n v="0"/>
    <n v="-7676.211208868177"/>
  </r>
  <r>
    <x v="6"/>
    <d v="2021-08-04T00:00:00"/>
    <d v="2021-08-24T00:00:00"/>
    <x v="0"/>
    <n v="9"/>
    <n v="3938"/>
    <n v="7.0559102035395256"/>
    <n v="5.1121348776600728"/>
    <n v="20131.587148225368"/>
    <n v="27786.174381538651"/>
    <n v="-7654.5872333132829"/>
    <n v="-244.26819927696567"/>
    <n v="-7898.8554325902487"/>
    <n v="0"/>
    <n v="0"/>
    <n v="0"/>
    <n v="-7898.8554325902487"/>
  </r>
  <r>
    <x v="7"/>
    <d v="2021-09-03T00:00:00"/>
    <d v="2021-09-24T00:00:00"/>
    <x v="0"/>
    <n v="9"/>
    <n v="4002"/>
    <n v="7.0559102035395256"/>
    <n v="5.1121348776600728"/>
    <n v="20458.763780395613"/>
    <n v="28237.752634565182"/>
    <n v="-7778.9888541695691"/>
    <n v="-248.23802272890214"/>
    <n v="-8027.2268768984713"/>
    <n v="0"/>
    <n v="0"/>
    <n v="0"/>
    <n v="-8027.2268768984713"/>
  </r>
  <r>
    <x v="8"/>
    <d v="2021-10-05T00:00:00"/>
    <d v="2021-10-25T00:00:00"/>
    <x v="0"/>
    <n v="9"/>
    <n v="4029"/>
    <n v="7.0559102035395256"/>
    <n v="5.1121348776600728"/>
    <n v="20596.791422092432"/>
    <n v="28428.262210060748"/>
    <n v="-7831.4707879683156"/>
    <n v="-249.91279199768786"/>
    <n v="-8081.3835799660037"/>
    <n v="0"/>
    <n v="0"/>
    <n v="0"/>
    <n v="-8081.3835799660037"/>
  </r>
  <r>
    <x v="9"/>
    <d v="2021-11-03T00:00:00"/>
    <d v="2021-11-24T00:00:00"/>
    <x v="0"/>
    <n v="9"/>
    <n v="3123"/>
    <n v="7.0559102035395256"/>
    <n v="5.1121348776600728"/>
    <n v="15965.197222932407"/>
    <n v="22035.60756565394"/>
    <n v="-6070.4103427215323"/>
    <n v="-193.71497875621228"/>
    <n v="-6264.1253214777444"/>
    <n v="0"/>
    <n v="0"/>
    <n v="0"/>
    <n v="-6264.1253214777444"/>
  </r>
  <r>
    <x v="10"/>
    <d v="2021-12-03T00:00:00"/>
    <d v="2021-12-27T00:00:00"/>
    <x v="0"/>
    <n v="9"/>
    <n v="2263"/>
    <n v="7.0559102035395256"/>
    <n v="5.1121348776600728"/>
    <n v="11568.761228144745"/>
    <n v="15967.524790609947"/>
    <n v="-4398.7635624652012"/>
    <n v="-140.37047612081599"/>
    <n v="-4539.1340385860176"/>
    <n v="0"/>
    <n v="0"/>
    <n v="0"/>
    <n v="-4539.1340385860176"/>
  </r>
  <r>
    <x v="11"/>
    <d v="2022-01-05T00:00:00"/>
    <d v="2022-01-24T00:00:00"/>
    <x v="0"/>
    <n v="9"/>
    <n v="2379"/>
    <n v="7.0559102035395256"/>
    <n v="5.1121348776600728"/>
    <n v="12161.768873953313"/>
    <n v="16786.010374220532"/>
    <n v="-4624.2415002672187"/>
    <n v="-147.56578112745083"/>
    <n v="-4771.8072813946692"/>
    <n v="0"/>
    <n v="0"/>
    <n v="0"/>
    <n v="-4771.8072813946692"/>
  </r>
  <r>
    <x v="0"/>
    <d v="2021-02-03T00:00:00"/>
    <d v="2021-02-24T00:00:00"/>
    <x v="1"/>
    <n v="9"/>
    <n v="2771"/>
    <n v="7.0559102035395256"/>
    <n v="5.1121348776600728"/>
    <n v="14165.725745996062"/>
    <n v="19551.927174008026"/>
    <n v="-5386.2014280119638"/>
    <n v="-171.8809497705617"/>
    <n v="-5558.0823777825253"/>
    <n v="0"/>
    <n v="0"/>
    <n v="0"/>
    <n v="-5558.0823777825253"/>
  </r>
  <r>
    <x v="1"/>
    <d v="2021-03-03T00:00:00"/>
    <d v="2021-03-24T00:00:00"/>
    <x v="1"/>
    <n v="9"/>
    <n v="3136"/>
    <n v="7.0559102035395256"/>
    <n v="5.1121348776600728"/>
    <n v="16031.654976341988"/>
    <n v="22127.33439829995"/>
    <n v="-6095.6794219579624"/>
    <n v="-194.52134914488687"/>
    <n v="-6290.2007711028491"/>
    <n v="0"/>
    <n v="0"/>
    <n v="0"/>
    <n v="-6290.2007711028491"/>
  </r>
  <r>
    <x v="2"/>
    <d v="2021-04-05T00:00:00"/>
    <d v="2021-04-26T00:00:00"/>
    <x v="1"/>
    <n v="9"/>
    <n v="2339"/>
    <n v="7.0559102035395256"/>
    <n v="5.1121348776600728"/>
    <n v="11957.28347884691"/>
    <n v="16503.773966078952"/>
    <n v="-4546.4904872320421"/>
    <n v="-145.08464146999054"/>
    <n v="-4691.575128702033"/>
    <n v="0"/>
    <n v="0"/>
    <n v="0"/>
    <n v="-4691.575128702033"/>
  </r>
  <r>
    <x v="3"/>
    <d v="2021-05-05T00:00:00"/>
    <d v="2021-05-24T00:00:00"/>
    <x v="1"/>
    <n v="9"/>
    <n v="2394"/>
    <n v="7.0559102035395256"/>
    <n v="5.1121348776600728"/>
    <n v="12238.450897118215"/>
    <n v="16891.849027273624"/>
    <n v="-4653.3981301554086"/>
    <n v="-148.49620849899844"/>
    <n v="-4801.894338654407"/>
    <n v="0"/>
    <n v="0"/>
    <n v="0"/>
    <n v="-4801.894338654407"/>
  </r>
  <r>
    <x v="4"/>
    <d v="2021-06-03T00:00:00"/>
    <d v="2021-06-24T00:00:00"/>
    <x v="1"/>
    <n v="9"/>
    <n v="2807"/>
    <n v="7.0559102035395256"/>
    <n v="5.1121348776600728"/>
    <n v="14349.762601591825"/>
    <n v="19805.939941335448"/>
    <n v="-5456.1773397436227"/>
    <n v="-174.11397546227593"/>
    <n v="-5630.2913152058991"/>
    <n v="0"/>
    <n v="0"/>
    <n v="0"/>
    <n v="-5630.2913152058991"/>
  </r>
  <r>
    <x v="5"/>
    <d v="2021-07-06T00:00:00"/>
    <d v="2021-07-24T00:00:00"/>
    <x v="1"/>
    <n v="9"/>
    <n v="3345"/>
    <n v="7.0559102035395256"/>
    <n v="5.1121348776600728"/>
    <n v="17100.091165772945"/>
    <n v="23602.019630839713"/>
    <n v="-6501.9284650667687"/>
    <n v="-207.48530385511688"/>
    <n v="-6709.413768921886"/>
    <n v="0"/>
    <n v="0"/>
    <n v="0"/>
    <n v="-6709.413768921886"/>
  </r>
  <r>
    <x v="6"/>
    <d v="2021-08-04T00:00:00"/>
    <d v="2021-08-24T00:00:00"/>
    <x v="1"/>
    <n v="9"/>
    <n v="3525"/>
    <n v="7.0559102035395256"/>
    <n v="5.1121348776600728"/>
    <n v="18020.275443751758"/>
    <n v="24872.083467476827"/>
    <n v="-6851.8080237250688"/>
    <n v="-218.65043231368819"/>
    <n v="-7070.4584560387566"/>
    <n v="0"/>
    <n v="0"/>
    <n v="0"/>
    <n v="-7070.4584560387566"/>
  </r>
  <r>
    <x v="7"/>
    <d v="2021-09-03T00:00:00"/>
    <d v="2021-09-24T00:00:00"/>
    <x v="1"/>
    <n v="9"/>
    <n v="3514"/>
    <n v="7.0559102035395256"/>
    <n v="5.1121348776600728"/>
    <n v="17964.041960097496"/>
    <n v="24794.468455237893"/>
    <n v="-6830.4264951403966"/>
    <n v="-217.96811890788658"/>
    <n v="-7048.3946140482831"/>
    <n v="0"/>
    <n v="0"/>
    <n v="0"/>
    <n v="-7048.3946140482831"/>
  </r>
  <r>
    <x v="8"/>
    <d v="2021-10-05T00:00:00"/>
    <d v="2021-10-25T00:00:00"/>
    <x v="1"/>
    <n v="9"/>
    <n v="3486"/>
    <n v="7.0559102035395256"/>
    <n v="5.1121348776600728"/>
    <n v="17820.902183523012"/>
    <n v="24596.902969538787"/>
    <n v="-6776.0007860157748"/>
    <n v="-216.2313211476644"/>
    <n v="-6992.2321071634397"/>
    <n v="0"/>
    <n v="0"/>
    <n v="0"/>
    <n v="-6992.2321071634397"/>
  </r>
  <r>
    <x v="9"/>
    <d v="2021-11-03T00:00:00"/>
    <d v="2021-11-24T00:00:00"/>
    <x v="1"/>
    <n v="9"/>
    <n v="2777"/>
    <n v="7.0559102035395256"/>
    <n v="5.1121348776600728"/>
    <n v="14196.398555262022"/>
    <n v="19594.262635229261"/>
    <n v="-5397.8640799672394"/>
    <n v="-172.25312071918074"/>
    <n v="-5570.1172006864199"/>
    <n v="0"/>
    <n v="0"/>
    <n v="0"/>
    <n v="-5570.1172006864199"/>
  </r>
  <r>
    <x v="10"/>
    <d v="2021-12-03T00:00:00"/>
    <d v="2021-12-27T00:00:00"/>
    <x v="1"/>
    <n v="9"/>
    <n v="2284"/>
    <n v="7.0559102035395256"/>
    <n v="5.1121348776600728"/>
    <n v="11676.116060575607"/>
    <n v="16115.698904884277"/>
    <n v="-4439.5828443086702"/>
    <n v="-141.67307444098265"/>
    <n v="-4581.2559187496527"/>
    <n v="0"/>
    <n v="0"/>
    <n v="0"/>
    <n v="-4581.2559187496527"/>
  </r>
  <r>
    <x v="11"/>
    <d v="2022-01-05T00:00:00"/>
    <d v="2022-01-24T00:00:00"/>
    <x v="1"/>
    <n v="9"/>
    <n v="2425"/>
    <n v="7.0559102035395256"/>
    <n v="5.1121348776600728"/>
    <n v="12396.927078325676"/>
    <n v="17110.582243583351"/>
    <n v="-4713.6551652576745"/>
    <n v="-150.41909173353017"/>
    <n v="-4864.0742569912045"/>
    <n v="0"/>
    <n v="0"/>
    <n v="0"/>
    <n v="-4864.0742569912045"/>
  </r>
  <r>
    <x v="0"/>
    <d v="2021-02-03T00:00:00"/>
    <d v="2021-02-24T00:00:00"/>
    <x v="2"/>
    <n v="9"/>
    <n v="146"/>
    <n v="7.0559102035395256"/>
    <n v="5.1121348776600728"/>
    <n v="746.37169213837058"/>
    <n v="1030.1628897167707"/>
    <n v="-283.7911975784001"/>
    <n v="-9.0561597497300639"/>
    <n v="-292.84735732813016"/>
    <n v="0"/>
    <n v="0"/>
    <n v="0"/>
    <n v="-292.84735732813016"/>
  </r>
  <r>
    <x v="1"/>
    <d v="2021-03-03T00:00:00"/>
    <d v="2021-03-24T00:00:00"/>
    <x v="2"/>
    <n v="9"/>
    <n v="212"/>
    <n v="7.0559102035395256"/>
    <n v="5.1121348776600728"/>
    <n v="1083.7725940639355"/>
    <n v="1495.8529631503793"/>
    <n v="-412.08036908644385"/>
    <n v="-13.150040184539545"/>
    <n v="-425.23040927098339"/>
    <n v="0"/>
    <n v="0"/>
    <n v="0"/>
    <n v="-425.23040927098339"/>
  </r>
  <r>
    <x v="2"/>
    <d v="2021-04-05T00:00:00"/>
    <d v="2021-04-26T00:00:00"/>
    <x v="2"/>
    <n v="9"/>
    <n v="125"/>
    <n v="7.0559102035395256"/>
    <n v="5.1121348776600728"/>
    <n v="639.01685970750907"/>
    <n v="881.98877544244067"/>
    <n v="-242.9719157349316"/>
    <n v="-7.7535614295634101"/>
    <n v="-250.725477164495"/>
    <n v="0"/>
    <n v="0"/>
    <n v="0"/>
    <n v="-250.725477164495"/>
  </r>
  <r>
    <x v="3"/>
    <d v="2021-05-05T00:00:00"/>
    <d v="2021-05-24T00:00:00"/>
    <x v="2"/>
    <n v="9"/>
    <n v="92"/>
    <n v="7.0559102035395256"/>
    <n v="5.1121348776600728"/>
    <n v="470.31640874472669"/>
    <n v="649.14373872563635"/>
    <n v="-178.82732998090967"/>
    <n v="-5.7066212121586704"/>
    <n v="-184.53395119306833"/>
    <n v="0"/>
    <n v="0"/>
    <n v="0"/>
    <n v="-184.53395119306833"/>
  </r>
  <r>
    <x v="4"/>
    <d v="2021-06-03T00:00:00"/>
    <d v="2021-06-24T00:00:00"/>
    <x v="2"/>
    <n v="9"/>
    <n v="102"/>
    <n v="7.0559102035395256"/>
    <n v="5.1121348776600728"/>
    <n v="521.4377575213274"/>
    <n v="719.70284076103167"/>
    <n v="-198.26508323970427"/>
    <n v="-6.3269061265237436"/>
    <n v="-204.59198936622801"/>
    <n v="0"/>
    <n v="0"/>
    <n v="0"/>
    <n v="-204.59198936622801"/>
  </r>
  <r>
    <x v="5"/>
    <d v="2021-07-06T00:00:00"/>
    <d v="2021-07-24T00:00:00"/>
    <x v="2"/>
    <n v="9"/>
    <n v="124"/>
    <n v="7.0559102035395256"/>
    <n v="5.1121348776600728"/>
    <n v="633.90472482984899"/>
    <n v="874.93286523890117"/>
    <n v="-241.02814040905218"/>
    <n v="-7.6915329381269029"/>
    <n v="-248.71967334717908"/>
    <n v="0"/>
    <n v="0"/>
    <n v="0"/>
    <n v="-248.71967334717908"/>
  </r>
  <r>
    <x v="6"/>
    <d v="2021-08-04T00:00:00"/>
    <d v="2021-08-24T00:00:00"/>
    <x v="2"/>
    <n v="9"/>
    <n v="138"/>
    <n v="7.0559102035395256"/>
    <n v="5.1121348776600728"/>
    <n v="705.47461311709003"/>
    <n v="973.71560808845447"/>
    <n v="-268.24099497136444"/>
    <n v="-8.559931818238006"/>
    <n v="-276.80092678960244"/>
    <n v="0"/>
    <n v="0"/>
    <n v="0"/>
    <n v="-276.80092678960244"/>
  </r>
  <r>
    <x v="7"/>
    <d v="2021-09-03T00:00:00"/>
    <d v="2021-09-24T00:00:00"/>
    <x v="2"/>
    <n v="9"/>
    <n v="140"/>
    <n v="7.0559102035395256"/>
    <n v="5.1121348776600728"/>
    <n v="715.69888287241019"/>
    <n v="987.82742849553358"/>
    <n v="-272.12854562312339"/>
    <n v="-8.6839888011110205"/>
    <n v="-280.8125344242344"/>
    <n v="0"/>
    <n v="0"/>
    <n v="0"/>
    <n v="-280.8125344242344"/>
  </r>
  <r>
    <x v="8"/>
    <d v="2021-10-05T00:00:00"/>
    <d v="2021-10-25T00:00:00"/>
    <x v="2"/>
    <n v="9"/>
    <n v="140"/>
    <n v="7.0559102035395256"/>
    <n v="5.1121348776600728"/>
    <n v="715.69888287241019"/>
    <n v="987.82742849553358"/>
    <n v="-272.12854562312339"/>
    <n v="-8.6839888011110205"/>
    <n v="-280.8125344242344"/>
    <n v="0"/>
    <n v="0"/>
    <n v="0"/>
    <n v="-280.8125344242344"/>
  </r>
  <r>
    <x v="9"/>
    <d v="2021-11-03T00:00:00"/>
    <d v="2021-11-24T00:00:00"/>
    <x v="2"/>
    <n v="9"/>
    <n v="106"/>
    <n v="7.0559102035395256"/>
    <n v="5.1121348776600728"/>
    <n v="541.88629703196773"/>
    <n v="747.92648157518965"/>
    <n v="-206.04018454322193"/>
    <n v="-6.5750200922697726"/>
    <n v="-212.61520463549169"/>
    <n v="0"/>
    <n v="0"/>
    <n v="0"/>
    <n v="-212.61520463549169"/>
  </r>
  <r>
    <x v="10"/>
    <d v="2021-12-03T00:00:00"/>
    <d v="2021-12-27T00:00:00"/>
    <x v="2"/>
    <n v="9"/>
    <n v="107"/>
    <n v="7.0559102035395256"/>
    <n v="5.1121348776600728"/>
    <n v="546.99843190962781"/>
    <n v="754.98239177872927"/>
    <n v="-207.98395986910145"/>
    <n v="-6.6370485837062798"/>
    <n v="-214.62100845280773"/>
    <n v="0"/>
    <n v="0"/>
    <n v="0"/>
    <n v="-214.62100845280773"/>
  </r>
  <r>
    <x v="11"/>
    <d v="2022-01-05T00:00:00"/>
    <d v="2022-01-24T00:00:00"/>
    <x v="2"/>
    <n v="9"/>
    <n v="110"/>
    <n v="7.0559102035395256"/>
    <n v="5.1121348776600728"/>
    <n v="562.33483654260806"/>
    <n v="776.15012238934787"/>
    <n v="-213.81528584673981"/>
    <n v="-6.8231340580158015"/>
    <n v="-220.63841990475561"/>
    <n v="0"/>
    <n v="0"/>
    <n v="0"/>
    <n v="-220.63841990475561"/>
  </r>
  <r>
    <x v="0"/>
    <d v="2021-02-03T00:00:00"/>
    <d v="2021-02-24T00:00:00"/>
    <x v="3"/>
    <n v="9"/>
    <n v="767"/>
    <n v="7.0559102035395256"/>
    <n v="5.1121348776600728"/>
    <n v="3921.0074511652761"/>
    <n v="5411.8831261148162"/>
    <n v="-1490.8756749495401"/>
    <n v="-47.575852931801087"/>
    <n v="-1538.4515278813412"/>
    <n v="0"/>
    <n v="0"/>
    <n v="0"/>
    <n v="-1538.4515278813412"/>
  </r>
  <r>
    <x v="1"/>
    <d v="2021-03-03T00:00:00"/>
    <d v="2021-03-24T00:00:00"/>
    <x v="3"/>
    <n v="9"/>
    <n v="1062"/>
    <n v="7.0559102035395256"/>
    <n v="5.1121348776600728"/>
    <n v="5429.0872400749977"/>
    <n v="7493.376636158976"/>
    <n v="-2064.2893960839783"/>
    <n v="-65.874257905570744"/>
    <n v="-2130.1636539895489"/>
    <n v="0"/>
    <n v="0"/>
    <n v="0"/>
    <n v="-2130.1636539895489"/>
  </r>
  <r>
    <x v="2"/>
    <d v="2021-04-05T00:00:00"/>
    <d v="2021-04-26T00:00:00"/>
    <x v="3"/>
    <n v="9"/>
    <n v="599"/>
    <n v="7.0559102035395256"/>
    <n v="5.1121348776600728"/>
    <n v="3062.1687917183835"/>
    <n v="4226.4902119201761"/>
    <n v="-1164.3214202017925"/>
    <n v="-37.155066370467864"/>
    <n v="-1201.4764865722605"/>
    <n v="0"/>
    <n v="0"/>
    <n v="0"/>
    <n v="-1201.4764865722605"/>
  </r>
  <r>
    <x v="3"/>
    <d v="2021-05-05T00:00:00"/>
    <d v="2021-05-24T00:00:00"/>
    <x v="3"/>
    <n v="9"/>
    <n v="447"/>
    <n v="7.0559102035395256"/>
    <n v="5.1121348776600728"/>
    <n v="2285.1242903140524"/>
    <n v="3153.991860982168"/>
    <n v="-868.8675706681156"/>
    <n v="-27.726735672118753"/>
    <n v="-896.59430634023431"/>
    <n v="0"/>
    <n v="0"/>
    <n v="0"/>
    <n v="-896.59430634023431"/>
  </r>
  <r>
    <x v="4"/>
    <d v="2021-06-03T00:00:00"/>
    <d v="2021-06-24T00:00:00"/>
    <x v="3"/>
    <n v="9"/>
    <n v="603"/>
    <n v="7.0559102035395256"/>
    <n v="5.1121348776600728"/>
    <n v="3082.6173312290239"/>
    <n v="4254.7138527343341"/>
    <n v="-1172.0965215053102"/>
    <n v="-37.403180336213893"/>
    <n v="-1209.499701841524"/>
    <n v="0"/>
    <n v="0"/>
    <n v="0"/>
    <n v="-1209.499701841524"/>
  </r>
  <r>
    <x v="5"/>
    <d v="2021-07-06T00:00:00"/>
    <d v="2021-07-24T00:00:00"/>
    <x v="3"/>
    <n v="9"/>
    <n v="840"/>
    <n v="7.0559102035395256"/>
    <n v="5.1121348776600728"/>
    <n v="4294.1932972344612"/>
    <n v="5926.9645709732013"/>
    <n v="-1632.7712737387401"/>
    <n v="-52.103932806666123"/>
    <n v="-1684.8752065454062"/>
    <n v="0"/>
    <n v="0"/>
    <n v="0"/>
    <n v="-1684.8752065454062"/>
  </r>
  <r>
    <x v="6"/>
    <d v="2021-08-04T00:00:00"/>
    <d v="2021-08-24T00:00:00"/>
    <x v="3"/>
    <n v="9"/>
    <n v="926"/>
    <n v="7.0559102035395256"/>
    <n v="5.1121348776600728"/>
    <n v="4733.8368967132274"/>
    <n v="6533.7728484776007"/>
    <n v="-1799.9359517643734"/>
    <n v="-57.438383070205738"/>
    <n v="-1857.374334834579"/>
    <n v="0"/>
    <n v="0"/>
    <n v="0"/>
    <n v="-1857.374334834579"/>
  </r>
  <r>
    <x v="7"/>
    <d v="2021-09-03T00:00:00"/>
    <d v="2021-09-24T00:00:00"/>
    <x v="3"/>
    <n v="9"/>
    <n v="943"/>
    <n v="7.0559102035395256"/>
    <n v="5.1121348776600728"/>
    <n v="4820.7431896334483"/>
    <n v="6653.7233219377722"/>
    <n v="-1832.9801323043239"/>
    <n v="-58.492867424626375"/>
    <n v="-1891.4729997289503"/>
    <n v="0"/>
    <n v="0"/>
    <n v="0"/>
    <n v="-1891.4729997289503"/>
  </r>
  <r>
    <x v="8"/>
    <d v="2021-10-05T00:00:00"/>
    <d v="2021-10-25T00:00:00"/>
    <x v="3"/>
    <n v="9"/>
    <n v="913"/>
    <n v="7.0559102035395256"/>
    <n v="5.1121348776600728"/>
    <n v="4667.3791433036467"/>
    <n v="6442.0460158315873"/>
    <n v="-1774.6668725279405"/>
    <n v="-56.632012681531151"/>
    <n v="-1831.2988852094718"/>
    <n v="0"/>
    <n v="0"/>
    <n v="0"/>
    <n v="-1831.2988852094718"/>
  </r>
  <r>
    <x v="9"/>
    <d v="2021-11-03T00:00:00"/>
    <d v="2021-11-24T00:00:00"/>
    <x v="3"/>
    <n v="9"/>
    <n v="681"/>
    <n v="7.0559102035395256"/>
    <n v="5.1121348776600728"/>
    <n v="3481.3638516865094"/>
    <n v="4805.0748486104167"/>
    <n v="-1323.7109969239073"/>
    <n v="-42.241402668261465"/>
    <n v="-1365.9523995921688"/>
    <n v="0"/>
    <n v="0"/>
    <n v="0"/>
    <n v="-1365.9523995921688"/>
  </r>
  <r>
    <x v="10"/>
    <d v="2021-12-03T00:00:00"/>
    <d v="2021-12-27T00:00:00"/>
    <x v="3"/>
    <n v="9"/>
    <n v="652"/>
    <n v="7.0559102035395256"/>
    <n v="5.1121348776600728"/>
    <n v="3333.1119402343675"/>
    <n v="4600.4534527077703"/>
    <n v="-1267.3415124734029"/>
    <n v="-40.442576416602748"/>
    <n v="-1307.7840888900057"/>
    <n v="0"/>
    <n v="0"/>
    <n v="0"/>
    <n v="-1307.7840888900057"/>
  </r>
  <r>
    <x v="11"/>
    <d v="2022-01-05T00:00:00"/>
    <d v="2022-01-24T00:00:00"/>
    <x v="3"/>
    <n v="9"/>
    <n v="634"/>
    <n v="7.0559102035395256"/>
    <n v="5.1121348776600728"/>
    <n v="3241.093512436486"/>
    <n v="4473.4470690440594"/>
    <n v="-1232.3535566075734"/>
    <n v="-39.326063570745617"/>
    <n v="-1271.6796201783191"/>
    <n v="0"/>
    <n v="0"/>
    <n v="0"/>
    <n v="-1271.6796201783191"/>
  </r>
  <r>
    <x v="0"/>
    <d v="2021-02-03T00:00:00"/>
    <d v="2021-02-24T00:00:00"/>
    <x v="4"/>
    <n v="9"/>
    <n v="38"/>
    <n v="7.0559102035395256"/>
    <n v="5.1121348776600728"/>
    <n v="194.26112535108277"/>
    <n v="268.12458773450197"/>
    <n v="-73.863462383419204"/>
    <n v="-2.3570826745872768"/>
    <n v="-76.220545058006479"/>
    <n v="0"/>
    <n v="0"/>
    <n v="0"/>
    <n v="-76.220545058006479"/>
  </r>
  <r>
    <x v="1"/>
    <d v="2021-03-03T00:00:00"/>
    <d v="2021-03-24T00:00:00"/>
    <x v="4"/>
    <n v="9"/>
    <n v="60"/>
    <n v="7.0559102035395256"/>
    <n v="5.1121348776600728"/>
    <n v="306.72809265960439"/>
    <n v="423.35461221237153"/>
    <n v="-116.62651955276715"/>
    <n v="-3.721709486190437"/>
    <n v="-120.34822903895758"/>
    <n v="0"/>
    <n v="0"/>
    <n v="0"/>
    <n v="-120.34822903895758"/>
  </r>
  <r>
    <x v="2"/>
    <d v="2021-04-05T00:00:00"/>
    <d v="2021-04-26T00:00:00"/>
    <x v="4"/>
    <n v="9"/>
    <n v="31"/>
    <n v="7.0559102035395256"/>
    <n v="5.1121348776600728"/>
    <n v="158.47618120746225"/>
    <n v="218.73321630972529"/>
    <n v="-60.257035102263046"/>
    <n v="-1.9228832345317257"/>
    <n v="-62.179918336794771"/>
    <n v="0"/>
    <n v="0"/>
    <n v="0"/>
    <n v="-62.179918336794771"/>
  </r>
  <r>
    <x v="3"/>
    <d v="2021-05-05T00:00:00"/>
    <d v="2021-05-24T00:00:00"/>
    <x v="4"/>
    <n v="9"/>
    <n v="20"/>
    <n v="7.0559102035395256"/>
    <n v="5.1121348776600728"/>
    <n v="102.24269755320145"/>
    <n v="141.11820407079051"/>
    <n v="-38.875506517589059"/>
    <n v="-1.2405698287301457"/>
    <n v="-40.116076346319204"/>
    <n v="0"/>
    <n v="0"/>
    <n v="0"/>
    <n v="-40.116076346319204"/>
  </r>
  <r>
    <x v="4"/>
    <d v="2021-06-03T00:00:00"/>
    <d v="2021-06-24T00:00:00"/>
    <x v="4"/>
    <n v="9"/>
    <n v="28"/>
    <n v="7.0559102035395256"/>
    <n v="5.1121348776600728"/>
    <n v="143.13977657448203"/>
    <n v="197.56548569910672"/>
    <n v="-54.425709124624689"/>
    <n v="-1.736797760222204"/>
    <n v="-56.162506884846891"/>
    <n v="0"/>
    <n v="0"/>
    <n v="0"/>
    <n v="-56.162506884846891"/>
  </r>
  <r>
    <x v="5"/>
    <d v="2021-07-06T00:00:00"/>
    <d v="2021-07-24T00:00:00"/>
    <x v="4"/>
    <n v="9"/>
    <n v="45"/>
    <n v="7.0559102035395256"/>
    <n v="5.1121348776600728"/>
    <n v="230.04606949470329"/>
    <n v="317.51595915927862"/>
    <n v="-87.469889664575334"/>
    <n v="-2.7912821146428279"/>
    <n v="-90.261171779218159"/>
    <n v="0"/>
    <n v="0"/>
    <n v="0"/>
    <n v="-90.261171779218159"/>
  </r>
  <r>
    <x v="6"/>
    <d v="2021-08-04T00:00:00"/>
    <d v="2021-08-24T00:00:00"/>
    <x v="4"/>
    <n v="9"/>
    <n v="53"/>
    <n v="7.0559102035395256"/>
    <n v="5.1121348776600728"/>
    <n v="270.94314851598386"/>
    <n v="373.96324078759483"/>
    <n v="-103.02009227161096"/>
    <n v="-3.2875100461348863"/>
    <n v="-106.30760231774585"/>
    <n v="0"/>
    <n v="0"/>
    <n v="0"/>
    <n v="-106.30760231774585"/>
  </r>
  <r>
    <x v="7"/>
    <d v="2021-09-03T00:00:00"/>
    <d v="2021-09-24T00:00:00"/>
    <x v="4"/>
    <n v="9"/>
    <n v="50"/>
    <n v="7.0559102035395256"/>
    <n v="5.1121348776600728"/>
    <n v="255.60674388300365"/>
    <n v="352.79551017697628"/>
    <n v="-97.188766293972634"/>
    <n v="-3.1014245718253646"/>
    <n v="-100.290190865798"/>
    <n v="0"/>
    <n v="0"/>
    <n v="0"/>
    <n v="-100.290190865798"/>
  </r>
  <r>
    <x v="8"/>
    <d v="2021-10-05T00:00:00"/>
    <d v="2021-10-25T00:00:00"/>
    <x v="4"/>
    <n v="9"/>
    <n v="49"/>
    <n v="7.0559102035395256"/>
    <n v="5.1121348776600728"/>
    <n v="250.49460900534356"/>
    <n v="345.73959997343673"/>
    <n v="-95.244990968093163"/>
    <n v="-3.0393960803888573"/>
    <n v="-98.284387048482017"/>
    <n v="0"/>
    <n v="0"/>
    <n v="0"/>
    <n v="-98.284387048482017"/>
  </r>
  <r>
    <x v="9"/>
    <d v="2021-11-03T00:00:00"/>
    <d v="2021-11-24T00:00:00"/>
    <x v="4"/>
    <n v="9"/>
    <n v="38"/>
    <n v="7.0559102035395256"/>
    <n v="5.1121348776600728"/>
    <n v="194.26112535108277"/>
    <n v="268.12458773450197"/>
    <n v="-73.863462383419204"/>
    <n v="-2.3570826745872768"/>
    <n v="-76.220545058006479"/>
    <n v="0"/>
    <n v="0"/>
    <n v="0"/>
    <n v="-76.220545058006479"/>
  </r>
  <r>
    <x v="10"/>
    <d v="2021-12-03T00:00:00"/>
    <d v="2021-12-27T00:00:00"/>
    <x v="4"/>
    <n v="9"/>
    <n v="32"/>
    <n v="7.0559102035395256"/>
    <n v="5.1121348776600728"/>
    <n v="163.58831608512233"/>
    <n v="225.78912651326482"/>
    <n v="-62.200810428142489"/>
    <n v="-1.984911725968233"/>
    <n v="-64.185722154110721"/>
    <n v="0"/>
    <n v="0"/>
    <n v="0"/>
    <n v="-64.185722154110721"/>
  </r>
  <r>
    <x v="11"/>
    <d v="2022-01-05T00:00:00"/>
    <d v="2022-01-24T00:00:00"/>
    <x v="4"/>
    <n v="9"/>
    <n v="31"/>
    <n v="7.0559102035395256"/>
    <n v="5.1121348776600728"/>
    <n v="158.47618120746225"/>
    <n v="218.73321630972529"/>
    <n v="-60.257035102263046"/>
    <n v="-1.9228832345317257"/>
    <n v="-62.179918336794771"/>
    <n v="0"/>
    <n v="0"/>
    <n v="0"/>
    <n v="-62.179918336794771"/>
  </r>
  <r>
    <x v="0"/>
    <d v="2021-02-03T00:00:00"/>
    <d v="2021-02-24T00:00:00"/>
    <x v="5"/>
    <n v="9"/>
    <n v="43"/>
    <n v="7.0559102035395256"/>
    <n v="5.1121348776600728"/>
    <n v="219.82179973938312"/>
    <n v="303.40413875219963"/>
    <n v="-83.582339012816504"/>
    <n v="-2.667225131769813"/>
    <n v="-86.249564144586316"/>
    <n v="0"/>
    <n v="0"/>
    <n v="0"/>
    <n v="-86.249564144586316"/>
  </r>
  <r>
    <x v="1"/>
    <d v="2021-03-03T00:00:00"/>
    <d v="2021-03-24T00:00:00"/>
    <x v="5"/>
    <n v="9"/>
    <n v="48"/>
    <n v="7.0559102035395256"/>
    <n v="5.1121348776600728"/>
    <n v="245.38247412768351"/>
    <n v="338.68368976989723"/>
    <n v="-93.30121564221372"/>
    <n v="-2.9773675889523497"/>
    <n v="-96.278583231166067"/>
    <n v="0"/>
    <n v="0"/>
    <n v="0"/>
    <n v="-96.278583231166067"/>
  </r>
  <r>
    <x v="2"/>
    <d v="2021-04-05T00:00:00"/>
    <d v="2021-04-26T00:00:00"/>
    <x v="5"/>
    <n v="9"/>
    <n v="35"/>
    <n v="7.0559102035395256"/>
    <n v="5.1121348776600728"/>
    <n v="178.92472071810255"/>
    <n v="246.9568571238834"/>
    <n v="-68.032136405780847"/>
    <n v="-2.1709972002777551"/>
    <n v="-70.2031336060586"/>
    <n v="0"/>
    <n v="0"/>
    <n v="0"/>
    <n v="-70.2031336060586"/>
  </r>
  <r>
    <x v="3"/>
    <d v="2021-05-05T00:00:00"/>
    <d v="2021-05-24T00:00:00"/>
    <x v="5"/>
    <n v="9"/>
    <n v="29"/>
    <n v="7.0559102035395256"/>
    <n v="5.1121348776600728"/>
    <n v="148.25191145214211"/>
    <n v="204.62139590264624"/>
    <n v="-56.369484450504132"/>
    <n v="-1.7988262516587112"/>
    <n v="-58.168310702162842"/>
    <n v="0"/>
    <n v="0"/>
    <n v="0"/>
    <n v="-58.168310702162842"/>
  </r>
  <r>
    <x v="4"/>
    <d v="2021-06-03T00:00:00"/>
    <d v="2021-06-24T00:00:00"/>
    <x v="5"/>
    <n v="9"/>
    <n v="34"/>
    <n v="7.0559102035395256"/>
    <n v="5.1121348776600728"/>
    <n v="173.81258584044247"/>
    <n v="239.90094692034387"/>
    <n v="-66.088361079901404"/>
    <n v="-2.1089687088412479"/>
    <n v="-68.19732978874265"/>
    <n v="0"/>
    <n v="0"/>
    <n v="0"/>
    <n v="-68.19732978874265"/>
  </r>
  <r>
    <x v="5"/>
    <d v="2021-07-06T00:00:00"/>
    <d v="2021-07-24T00:00:00"/>
    <x v="5"/>
    <n v="9"/>
    <n v="45"/>
    <n v="7.0559102035395256"/>
    <n v="5.1121348776600728"/>
    <n v="230.04606949470329"/>
    <n v="317.51595915927862"/>
    <n v="-87.469889664575334"/>
    <n v="-2.7912821146428279"/>
    <n v="-90.261171779218159"/>
    <n v="0"/>
    <n v="0"/>
    <n v="0"/>
    <n v="-90.261171779218159"/>
  </r>
  <r>
    <x v="6"/>
    <d v="2021-08-04T00:00:00"/>
    <d v="2021-08-24T00:00:00"/>
    <x v="5"/>
    <n v="9"/>
    <n v="48"/>
    <n v="7.0559102035395256"/>
    <n v="5.1121348776600728"/>
    <n v="245.38247412768351"/>
    <n v="338.68368976989723"/>
    <n v="-93.30121564221372"/>
    <n v="-2.9773675889523497"/>
    <n v="-96.278583231166067"/>
    <n v="0"/>
    <n v="0"/>
    <n v="0"/>
    <n v="-96.278583231166067"/>
  </r>
  <r>
    <x v="7"/>
    <d v="2021-09-03T00:00:00"/>
    <d v="2021-09-24T00:00:00"/>
    <x v="5"/>
    <n v="9"/>
    <n v="46"/>
    <n v="7.0559102035395256"/>
    <n v="5.1121348776600728"/>
    <n v="235.15820437236334"/>
    <n v="324.57186936281818"/>
    <n v="-89.413664990454834"/>
    <n v="-2.8533106060793352"/>
    <n v="-92.266975596534166"/>
    <n v="0"/>
    <n v="0"/>
    <n v="0"/>
    <n v="-92.266975596534166"/>
  </r>
  <r>
    <x v="8"/>
    <d v="2021-10-05T00:00:00"/>
    <d v="2021-10-25T00:00:00"/>
    <x v="5"/>
    <n v="9"/>
    <n v="46"/>
    <n v="7.0559102035395256"/>
    <n v="5.1121348776600728"/>
    <n v="235.15820437236334"/>
    <n v="324.57186936281818"/>
    <n v="-89.413664990454834"/>
    <n v="-2.8533106060793352"/>
    <n v="-92.266975596534166"/>
    <n v="0"/>
    <n v="0"/>
    <n v="0"/>
    <n v="-92.266975596534166"/>
  </r>
  <r>
    <x v="9"/>
    <d v="2021-11-03T00:00:00"/>
    <d v="2021-11-24T00:00:00"/>
    <x v="5"/>
    <n v="9"/>
    <n v="41"/>
    <n v="7.0559102035395256"/>
    <n v="5.1121348776600728"/>
    <n v="209.59752998406299"/>
    <n v="289.29231834512052"/>
    <n v="-79.694788361057533"/>
    <n v="-2.5431681488967985"/>
    <n v="-82.23795650995433"/>
    <n v="0"/>
    <n v="0"/>
    <n v="0"/>
    <n v="-82.23795650995433"/>
  </r>
  <r>
    <x v="10"/>
    <d v="2021-12-03T00:00:00"/>
    <d v="2021-12-27T00:00:00"/>
    <x v="5"/>
    <n v="9"/>
    <n v="40"/>
    <n v="7.0559102035395256"/>
    <n v="5.1121348776600728"/>
    <n v="204.4853951064029"/>
    <n v="282.23640814158102"/>
    <n v="-77.751013035178119"/>
    <n v="-2.4811396574602913"/>
    <n v="-80.232152692638408"/>
    <n v="0"/>
    <n v="0"/>
    <n v="0"/>
    <n v="-80.232152692638408"/>
  </r>
  <r>
    <x v="11"/>
    <d v="2022-01-05T00:00:00"/>
    <d v="2022-01-24T00:00:00"/>
    <x v="5"/>
    <n v="9"/>
    <n v="39"/>
    <n v="7.0559102035395256"/>
    <n v="5.1121348776600728"/>
    <n v="199.37326022874285"/>
    <n v="275.18049793804153"/>
    <n v="-75.807237709298676"/>
    <n v="-2.4191111660237841"/>
    <n v="-78.226348875322458"/>
    <n v="0"/>
    <n v="0"/>
    <n v="0"/>
    <n v="-78.226348875322458"/>
  </r>
  <r>
    <x v="0"/>
    <d v="2021-02-03T00:00:00"/>
    <d v="2021-02-24T00:00:00"/>
    <x v="6"/>
    <n v="9"/>
    <n v="76"/>
    <n v="7.0559102035395256"/>
    <n v="5.1121348776600728"/>
    <n v="388.52225070216554"/>
    <n v="536.24917546900394"/>
    <n v="-147.72692476683841"/>
    <n v="-4.7141653491745537"/>
    <n v="-152.44109011601296"/>
    <n v="0"/>
    <n v="0"/>
    <n v="0"/>
    <n v="-152.44109011601296"/>
  </r>
  <r>
    <x v="1"/>
    <d v="2021-03-03T00:00:00"/>
    <d v="2021-03-24T00:00:00"/>
    <x v="6"/>
    <n v="9"/>
    <n v="99"/>
    <n v="7.0559102035395256"/>
    <n v="5.1121348776600728"/>
    <n v="506.10135288834721"/>
    <n v="698.53511015041306"/>
    <n v="-192.43375726206585"/>
    <n v="-6.1408206522142219"/>
    <n v="-198.57457791428007"/>
    <n v="0"/>
    <n v="0"/>
    <n v="0"/>
    <n v="-198.57457791428007"/>
  </r>
  <r>
    <x v="2"/>
    <d v="2021-04-05T00:00:00"/>
    <d v="2021-04-26T00:00:00"/>
    <x v="6"/>
    <n v="9"/>
    <n v="66"/>
    <n v="7.0559102035395256"/>
    <n v="5.1121348776600728"/>
    <n v="337.40090192556482"/>
    <n v="465.69007343360869"/>
    <n v="-128.28917150804386"/>
    <n v="-4.0938804348094804"/>
    <n v="-132.38305194285334"/>
    <n v="0"/>
    <n v="0"/>
    <n v="0"/>
    <n v="-132.38305194285334"/>
  </r>
  <r>
    <x v="3"/>
    <d v="2021-05-05T00:00:00"/>
    <d v="2021-05-24T00:00:00"/>
    <x v="6"/>
    <n v="9"/>
    <n v="67"/>
    <n v="7.0559102035395256"/>
    <n v="5.1121348776600728"/>
    <n v="342.51303680322485"/>
    <n v="472.74598363714824"/>
    <n v="-130.23294683392339"/>
    <n v="-4.1559089262459876"/>
    <n v="-134.38885576016938"/>
    <n v="0"/>
    <n v="0"/>
    <n v="0"/>
    <n v="-134.38885576016938"/>
  </r>
  <r>
    <x v="4"/>
    <d v="2021-06-03T00:00:00"/>
    <d v="2021-06-24T00:00:00"/>
    <x v="6"/>
    <n v="9"/>
    <n v="101"/>
    <n v="7.0559102035395256"/>
    <n v="5.1121348776600728"/>
    <n v="516.32562264366732"/>
    <n v="712.64693055749206"/>
    <n v="-196.32130791382474"/>
    <n v="-6.2648776350872364"/>
    <n v="-202.58618554891197"/>
    <n v="0"/>
    <n v="0"/>
    <n v="0"/>
    <n v="-202.58618554891197"/>
  </r>
  <r>
    <x v="5"/>
    <d v="2021-07-06T00:00:00"/>
    <d v="2021-07-24T00:00:00"/>
    <x v="6"/>
    <n v="9"/>
    <n v="141"/>
    <n v="7.0559102035395256"/>
    <n v="5.1121348776600728"/>
    <n v="720.81101775007028"/>
    <n v="994.88333869907308"/>
    <n v="-274.0723209490028"/>
    <n v="-8.7460172925475277"/>
    <n v="-282.81833824155035"/>
    <n v="0"/>
    <n v="0"/>
    <n v="0"/>
    <n v="-282.81833824155035"/>
  </r>
  <r>
    <x v="6"/>
    <d v="2021-08-04T00:00:00"/>
    <d v="2021-08-24T00:00:00"/>
    <x v="6"/>
    <n v="9"/>
    <n v="145"/>
    <n v="7.0559102035395256"/>
    <n v="5.1121348776600728"/>
    <n v="741.25955726071061"/>
    <n v="1023.1069795132312"/>
    <n v="-281.84742225252057"/>
    <n v="-8.9941312582935566"/>
    <n v="-290.84155351081415"/>
    <n v="0"/>
    <n v="0"/>
    <n v="0"/>
    <n v="-290.84155351081415"/>
  </r>
  <r>
    <x v="7"/>
    <d v="2021-09-03T00:00:00"/>
    <d v="2021-09-24T00:00:00"/>
    <x v="6"/>
    <n v="9"/>
    <n v="149"/>
    <n v="7.0559102035395256"/>
    <n v="5.1121348776600728"/>
    <n v="761.70809677135082"/>
    <n v="1051.3306203273894"/>
    <n v="-289.62252355603857"/>
    <n v="-9.2422452240395856"/>
    <n v="-298.86476878007818"/>
    <n v="0"/>
    <n v="0"/>
    <n v="0"/>
    <n v="-298.86476878007818"/>
  </r>
  <r>
    <x v="8"/>
    <d v="2021-10-05T00:00:00"/>
    <d v="2021-10-25T00:00:00"/>
    <x v="6"/>
    <n v="9"/>
    <n v="150"/>
    <n v="7.0559102035395256"/>
    <n v="5.1121348776600728"/>
    <n v="766.82023164901091"/>
    <n v="1058.3865305309289"/>
    <n v="-291.56629888191799"/>
    <n v="-9.3042737154760928"/>
    <n v="-300.87057259739407"/>
    <n v="0"/>
    <n v="0"/>
    <n v="0"/>
    <n v="-300.87057259739407"/>
  </r>
  <r>
    <x v="9"/>
    <d v="2021-11-03T00:00:00"/>
    <d v="2021-11-24T00:00:00"/>
    <x v="6"/>
    <n v="9"/>
    <n v="114"/>
    <n v="7.0559102035395256"/>
    <n v="5.1121348776600728"/>
    <n v="582.78337605324828"/>
    <n v="804.37376320350586"/>
    <n v="-221.59038715025758"/>
    <n v="-7.0712480237618305"/>
    <n v="-228.66163517401941"/>
    <n v="0"/>
    <n v="0"/>
    <n v="0"/>
    <n v="-228.66163517401941"/>
  </r>
  <r>
    <x v="10"/>
    <d v="2021-12-03T00:00:00"/>
    <d v="2021-12-27T00:00:00"/>
    <x v="6"/>
    <n v="9"/>
    <n v="66"/>
    <n v="7.0559102035395256"/>
    <n v="5.1121348776600728"/>
    <n v="337.40090192556482"/>
    <n v="465.69007343360869"/>
    <n v="-128.28917150804386"/>
    <n v="-4.0938804348094804"/>
    <n v="-132.38305194285334"/>
    <n v="0"/>
    <n v="0"/>
    <n v="0"/>
    <n v="-132.38305194285334"/>
  </r>
  <r>
    <x v="11"/>
    <d v="2022-01-05T00:00:00"/>
    <d v="2022-01-24T00:00:00"/>
    <x v="6"/>
    <n v="9"/>
    <n v="72"/>
    <n v="7.0559102035395256"/>
    <n v="5.1121348776600728"/>
    <n v="368.07371119152526"/>
    <n v="508.02553465484584"/>
    <n v="-139.95182346332058"/>
    <n v="-4.4660513834285247"/>
    <n v="-144.4178748467491"/>
    <n v="0"/>
    <n v="0"/>
    <n v="0"/>
    <n v="-144.4178748467491"/>
  </r>
  <r>
    <x v="0"/>
    <d v="2021-02-03T00:00:00"/>
    <d v="2021-02-24T00:00:00"/>
    <x v="7"/>
    <n v="9"/>
    <n v="37"/>
    <n v="7.0559102035395256"/>
    <n v="5.1121348776600728"/>
    <n v="189.14899047342269"/>
    <n v="261.06867753096242"/>
    <n v="-71.919687057539733"/>
    <n v="-2.2950541831507696"/>
    <n v="-74.2147412406905"/>
    <n v="0"/>
    <n v="0"/>
    <n v="0"/>
    <n v="-74.2147412406905"/>
  </r>
  <r>
    <x v="1"/>
    <d v="2021-03-03T00:00:00"/>
    <d v="2021-03-24T00:00:00"/>
    <x v="7"/>
    <n v="9"/>
    <n v="33"/>
    <n v="7.0559102035395256"/>
    <n v="5.1121348776600728"/>
    <n v="168.70045096278241"/>
    <n v="232.84503671680434"/>
    <n v="-64.144585754021932"/>
    <n v="-2.0469402174047402"/>
    <n v="-66.191525971426671"/>
    <n v="0"/>
    <n v="0"/>
    <n v="0"/>
    <n v="-66.191525971426671"/>
  </r>
  <r>
    <x v="2"/>
    <d v="2021-04-05T00:00:00"/>
    <d v="2021-04-26T00:00:00"/>
    <x v="7"/>
    <n v="9"/>
    <n v="47"/>
    <n v="7.0559102035395256"/>
    <n v="5.1121348776600728"/>
    <n v="240.27033925002343"/>
    <n v="331.62777956635773"/>
    <n v="-91.357440316334305"/>
    <n v="-2.9153390975158424"/>
    <n v="-94.272779413850145"/>
    <n v="0"/>
    <n v="0"/>
    <n v="0"/>
    <n v="-94.272779413850145"/>
  </r>
  <r>
    <x v="3"/>
    <d v="2021-05-05T00:00:00"/>
    <d v="2021-05-24T00:00:00"/>
    <x v="7"/>
    <n v="9"/>
    <n v="39"/>
    <n v="7.0559102035395256"/>
    <n v="5.1121348776600728"/>
    <n v="199.37326022874285"/>
    <n v="275.18049793804153"/>
    <n v="-75.807237709298676"/>
    <n v="-2.4191111660237841"/>
    <n v="-78.226348875322458"/>
    <n v="0"/>
    <n v="0"/>
    <n v="0"/>
    <n v="-78.226348875322458"/>
  </r>
  <r>
    <x v="4"/>
    <d v="2021-06-03T00:00:00"/>
    <d v="2021-06-24T00:00:00"/>
    <x v="7"/>
    <n v="9"/>
    <n v="46"/>
    <n v="7.0559102035395256"/>
    <n v="5.1121348776600728"/>
    <n v="235.15820437236334"/>
    <n v="324.57186936281818"/>
    <n v="-89.413664990454834"/>
    <n v="-2.8533106060793352"/>
    <n v="-92.266975596534166"/>
    <n v="0"/>
    <n v="0"/>
    <n v="0"/>
    <n v="-92.266975596534166"/>
  </r>
  <r>
    <x v="5"/>
    <d v="2021-07-06T00:00:00"/>
    <d v="2021-07-24T00:00:00"/>
    <x v="7"/>
    <n v="9"/>
    <n v="51"/>
    <n v="7.0559102035395256"/>
    <n v="5.1121348776600728"/>
    <n v="260.7188787606637"/>
    <n v="359.85142038051583"/>
    <n v="-99.132541619852134"/>
    <n v="-3.1634530632618718"/>
    <n v="-102.295994683114"/>
    <n v="0"/>
    <n v="0"/>
    <n v="0"/>
    <n v="-102.295994683114"/>
  </r>
  <r>
    <x v="6"/>
    <d v="2021-08-04T00:00:00"/>
    <d v="2021-08-24T00:00:00"/>
    <x v="7"/>
    <n v="9"/>
    <n v="46"/>
    <n v="7.0559102035395256"/>
    <n v="5.1121348776600728"/>
    <n v="235.15820437236334"/>
    <n v="324.57186936281818"/>
    <n v="-89.413664990454834"/>
    <n v="-2.8533106060793352"/>
    <n v="-92.266975596534166"/>
    <n v="0"/>
    <n v="0"/>
    <n v="0"/>
    <n v="-92.266975596534166"/>
  </r>
  <r>
    <x v="7"/>
    <d v="2021-09-03T00:00:00"/>
    <d v="2021-09-24T00:00:00"/>
    <x v="7"/>
    <n v="9"/>
    <n v="50"/>
    <n v="7.0559102035395256"/>
    <n v="5.1121348776600728"/>
    <n v="255.60674388300365"/>
    <n v="352.79551017697628"/>
    <n v="-97.188766293972634"/>
    <n v="-3.1014245718253646"/>
    <n v="-100.290190865798"/>
    <n v="0"/>
    <n v="0"/>
    <n v="0"/>
    <n v="-100.290190865798"/>
  </r>
  <r>
    <x v="8"/>
    <d v="2021-10-05T00:00:00"/>
    <d v="2021-10-25T00:00:00"/>
    <x v="7"/>
    <n v="9"/>
    <n v="45"/>
    <n v="7.0559102035395256"/>
    <n v="5.1121348776600728"/>
    <n v="230.04606949470329"/>
    <n v="317.51595915927862"/>
    <n v="-87.469889664575334"/>
    <n v="-2.7912821146428279"/>
    <n v="-90.261171779218159"/>
    <n v="0"/>
    <n v="0"/>
    <n v="0"/>
    <n v="-90.261171779218159"/>
  </r>
  <r>
    <x v="9"/>
    <d v="2021-11-03T00:00:00"/>
    <d v="2021-11-24T00:00:00"/>
    <x v="7"/>
    <n v="9"/>
    <n v="46"/>
    <n v="7.0559102035395256"/>
    <n v="5.1121348776600728"/>
    <n v="235.15820437236334"/>
    <n v="324.57186936281818"/>
    <n v="-89.413664990454834"/>
    <n v="-2.8533106060793352"/>
    <n v="-92.266975596534166"/>
    <n v="0"/>
    <n v="0"/>
    <n v="0"/>
    <n v="-92.266975596534166"/>
  </r>
  <r>
    <x v="10"/>
    <d v="2021-12-03T00:00:00"/>
    <d v="2021-12-27T00:00:00"/>
    <x v="7"/>
    <n v="9"/>
    <n v="48"/>
    <n v="7.0559102035395256"/>
    <n v="5.1121348776600728"/>
    <n v="245.38247412768351"/>
    <n v="338.68368976989723"/>
    <n v="-93.30121564221372"/>
    <n v="-2.9773675889523497"/>
    <n v="-96.278583231166067"/>
    <n v="0"/>
    <n v="0"/>
    <n v="0"/>
    <n v="-96.278583231166067"/>
  </r>
  <r>
    <x v="11"/>
    <d v="2022-01-05T00:00:00"/>
    <d v="2022-01-24T00:00:00"/>
    <x v="7"/>
    <n v="9"/>
    <n v="42"/>
    <n v="7.0559102035395256"/>
    <n v="5.1121348776600728"/>
    <n v="214.70966486172307"/>
    <n v="296.34822854866007"/>
    <n v="-81.638563686937005"/>
    <n v="-2.6051966403333058"/>
    <n v="-84.243760327270309"/>
    <n v="0"/>
    <n v="0"/>
    <n v="0"/>
    <n v="-84.243760327270309"/>
  </r>
  <r>
    <x v="0"/>
    <d v="2021-02-03T00:00:00"/>
    <d v="2021-02-24T00:00:00"/>
    <x v="8"/>
    <n v="9"/>
    <n v="973"/>
    <n v="7.0559102035395256"/>
    <n v="5.1121348776600728"/>
    <n v="4974.1072359632508"/>
    <n v="6865.400628043958"/>
    <n v="-1891.2933920807072"/>
    <n v="-60.353722167721585"/>
    <n v="-1951.6471142484288"/>
    <n v="0"/>
    <n v="0"/>
    <n v="0"/>
    <n v="-1951.6471142484288"/>
  </r>
  <r>
    <x v="1"/>
    <d v="2021-03-03T00:00:00"/>
    <d v="2021-03-24T00:00:00"/>
    <x v="8"/>
    <n v="9"/>
    <n v="1338"/>
    <n v="7.0559102035395256"/>
    <n v="5.1121348776600728"/>
    <n v="6840.0364663091777"/>
    <n v="9440.8078523358854"/>
    <n v="-2600.7713860267077"/>
    <n v="-82.994121542046756"/>
    <n v="-2683.7655075687544"/>
    <n v="0"/>
    <n v="0"/>
    <n v="0"/>
    <n v="-2683.7655075687544"/>
  </r>
  <r>
    <x v="2"/>
    <d v="2021-04-05T00:00:00"/>
    <d v="2021-04-26T00:00:00"/>
    <x v="8"/>
    <n v="9"/>
    <n v="790"/>
    <n v="7.0559102035395256"/>
    <n v="5.1121348776600728"/>
    <n v="4038.5865533514575"/>
    <n v="5574.1690607962255"/>
    <n v="-1535.582507444768"/>
    <n v="-49.002508234840754"/>
    <n v="-1584.5850156796087"/>
    <n v="0"/>
    <n v="0"/>
    <n v="0"/>
    <n v="-1584.5850156796087"/>
  </r>
  <r>
    <x v="3"/>
    <d v="2021-05-05T00:00:00"/>
    <d v="2021-05-24T00:00:00"/>
    <x v="8"/>
    <n v="9"/>
    <n v="565"/>
    <n v="7.0559102035395256"/>
    <n v="5.1121348776600728"/>
    <n v="2888.3562058779412"/>
    <n v="3986.5892649998318"/>
    <n v="-1098.2330591218906"/>
    <n v="-35.046097661626618"/>
    <n v="-1133.2791567835172"/>
    <n v="0"/>
    <n v="0"/>
    <n v="0"/>
    <n v="-1133.2791567835172"/>
  </r>
  <r>
    <x v="4"/>
    <d v="2021-06-03T00:00:00"/>
    <d v="2021-06-24T00:00:00"/>
    <x v="8"/>
    <n v="9"/>
    <n v="636"/>
    <n v="7.0559102035395256"/>
    <n v="5.1121348776600728"/>
    <n v="3251.3177821918061"/>
    <n v="4487.5588894511384"/>
    <n v="-1236.2411072593322"/>
    <n v="-39.450120553618632"/>
    <n v="-1275.691227812951"/>
    <n v="0"/>
    <n v="0"/>
    <n v="0"/>
    <n v="-1275.691227812951"/>
  </r>
  <r>
    <x v="5"/>
    <d v="2021-07-06T00:00:00"/>
    <d v="2021-07-24T00:00:00"/>
    <x v="8"/>
    <n v="9"/>
    <n v="845"/>
    <n v="7.0559102035395256"/>
    <n v="5.1121348776600728"/>
    <n v="4319.7539716227611"/>
    <n v="5962.2441219908987"/>
    <n v="-1642.4901503681376"/>
    <n v="-52.414075263848659"/>
    <n v="-1694.9042256319863"/>
    <n v="0"/>
    <n v="0"/>
    <n v="0"/>
    <n v="-1694.9042256319863"/>
  </r>
  <r>
    <x v="6"/>
    <d v="2021-08-04T00:00:00"/>
    <d v="2021-08-24T00:00:00"/>
    <x v="8"/>
    <n v="9"/>
    <n v="897"/>
    <n v="7.0559102035395256"/>
    <n v="5.1121348776600728"/>
    <n v="4585.5849852610854"/>
    <n v="6329.1514525749544"/>
    <n v="-1743.566467313869"/>
    <n v="-55.639556818547035"/>
    <n v="-1799.2060241324161"/>
    <n v="0"/>
    <n v="0"/>
    <n v="0"/>
    <n v="-1799.2060241324161"/>
  </r>
  <r>
    <x v="7"/>
    <d v="2021-09-03T00:00:00"/>
    <d v="2021-09-24T00:00:00"/>
    <x v="8"/>
    <n v="9"/>
    <n v="899"/>
    <n v="7.0559102035395256"/>
    <n v="5.1121348776600728"/>
    <n v="4595.8092550164056"/>
    <n v="6343.2632729820334"/>
    <n v="-1747.4540179656278"/>
    <n v="-55.76361380142005"/>
    <n v="-1803.2176317670478"/>
    <n v="0"/>
    <n v="0"/>
    <n v="0"/>
    <n v="-1803.2176317670478"/>
  </r>
  <r>
    <x v="8"/>
    <d v="2021-10-05T00:00:00"/>
    <d v="2021-10-25T00:00:00"/>
    <x v="8"/>
    <n v="9"/>
    <n v="904"/>
    <n v="7.0559102035395256"/>
    <n v="5.1121348776600728"/>
    <n v="4621.3699294047055"/>
    <n v="6378.5428239997309"/>
    <n v="-1757.1728945950254"/>
    <n v="-56.073756258602586"/>
    <n v="-1813.2466508536279"/>
    <n v="0"/>
    <n v="0"/>
    <n v="0"/>
    <n v="-1813.2466508536279"/>
  </r>
  <r>
    <x v="9"/>
    <d v="2021-11-03T00:00:00"/>
    <d v="2021-11-24T00:00:00"/>
    <x v="8"/>
    <n v="9"/>
    <n v="685"/>
    <n v="7.0559102035395256"/>
    <n v="5.1121348776600728"/>
    <n v="3501.8123911971497"/>
    <n v="4833.2984894245747"/>
    <n v="-1331.4860982274249"/>
    <n v="-42.489516634007494"/>
    <n v="-1373.9756148614324"/>
    <n v="0"/>
    <n v="0"/>
    <n v="0"/>
    <n v="-1373.9756148614324"/>
  </r>
  <r>
    <x v="10"/>
    <d v="2021-12-03T00:00:00"/>
    <d v="2021-12-27T00:00:00"/>
    <x v="8"/>
    <n v="9"/>
    <n v="718"/>
    <n v="7.0559102035395256"/>
    <n v="5.1121348776600728"/>
    <n v="3670.5128421599325"/>
    <n v="5066.143526141379"/>
    <n v="-1395.6306839814465"/>
    <n v="-44.536456851412233"/>
    <n v="-1440.1671408328586"/>
    <n v="0"/>
    <n v="0"/>
    <n v="0"/>
    <n v="-1440.1671408328586"/>
  </r>
  <r>
    <x v="11"/>
    <d v="2022-01-05T00:00:00"/>
    <d v="2022-01-24T00:00:00"/>
    <x v="8"/>
    <n v="9"/>
    <n v="770"/>
    <n v="7.0559102035395256"/>
    <n v="5.1121348776600728"/>
    <n v="3936.3438557982558"/>
    <n v="5433.0508567254346"/>
    <n v="-1496.7070009271788"/>
    <n v="-47.761938406110609"/>
    <n v="-1544.4689393332894"/>
    <n v="0"/>
    <n v="0"/>
    <n v="0"/>
    <n v="-1544.4689393332894"/>
  </r>
  <r>
    <x v="0"/>
    <d v="2021-02-03T00:00:00"/>
    <d v="2021-02-24T00:00:00"/>
    <x v="9"/>
    <n v="9"/>
    <n v="7"/>
    <n v="7.0559102035395256"/>
    <n v="5.1121348776600728"/>
    <n v="35.784944143620507"/>
    <n v="49.391371424776679"/>
    <n v="-13.606427281156172"/>
    <n v="-0.434199440055551"/>
    <n v="-14.040626721211723"/>
    <n v="0"/>
    <n v="0"/>
    <n v="0"/>
    <n v="-14.040626721211723"/>
  </r>
  <r>
    <x v="1"/>
    <d v="2021-03-03T00:00:00"/>
    <d v="2021-03-24T00:00:00"/>
    <x v="9"/>
    <n v="9"/>
    <n v="8"/>
    <n v="7.0559102035395256"/>
    <n v="5.1121348776600728"/>
    <n v="40.897079021280582"/>
    <n v="56.447281628316205"/>
    <n v="-15.550202607035622"/>
    <n v="-0.49622793149205824"/>
    <n v="-16.04643053852768"/>
    <n v="0"/>
    <n v="0"/>
    <n v="0"/>
    <n v="-16.04643053852768"/>
  </r>
  <r>
    <x v="2"/>
    <d v="2021-04-05T00:00:00"/>
    <d v="2021-04-26T00:00:00"/>
    <x v="9"/>
    <n v="9"/>
    <n v="5"/>
    <n v="7.0559102035395256"/>
    <n v="5.1121348776600728"/>
    <n v="25.560674388300363"/>
    <n v="35.279551017697628"/>
    <n v="-9.7188766293972648"/>
    <n v="-0.31014245718253641"/>
    <n v="-10.029019086579801"/>
    <n v="0"/>
    <n v="0"/>
    <n v="0"/>
    <n v="-10.029019086579801"/>
  </r>
  <r>
    <x v="3"/>
    <d v="2021-05-05T00:00:00"/>
    <d v="2021-05-24T00:00:00"/>
    <x v="9"/>
    <n v="9"/>
    <n v="6"/>
    <n v="7.0559102035395256"/>
    <n v="5.1121348776600728"/>
    <n v="30.672809265960439"/>
    <n v="42.335461221237153"/>
    <n v="-11.662651955276715"/>
    <n v="-0.37217094861904371"/>
    <n v="-12.034822903895758"/>
    <n v="0"/>
    <n v="0"/>
    <n v="0"/>
    <n v="-12.034822903895758"/>
  </r>
  <r>
    <x v="4"/>
    <d v="2021-06-03T00:00:00"/>
    <d v="2021-06-24T00:00:00"/>
    <x v="9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5"/>
    <d v="2021-07-06T00:00:00"/>
    <d v="2021-07-24T00:00:00"/>
    <x v="9"/>
    <n v="9"/>
    <n v="13"/>
    <n v="7.0559102035395256"/>
    <n v="5.1121348776600728"/>
    <n v="66.457753409580945"/>
    <n v="91.726832646013833"/>
    <n v="-25.269079236432887"/>
    <n v="-0.80637038867459476"/>
    <n v="-26.075449625107481"/>
    <n v="0"/>
    <n v="0"/>
    <n v="0"/>
    <n v="-26.075449625107481"/>
  </r>
  <r>
    <x v="6"/>
    <d v="2021-08-04T00:00:00"/>
    <d v="2021-08-24T00:00:00"/>
    <x v="9"/>
    <n v="9"/>
    <n v="17"/>
    <n v="7.0559102035395256"/>
    <n v="5.1121348776600728"/>
    <n v="86.906292920221233"/>
    <n v="119.95047346017193"/>
    <n v="-33.044180539950702"/>
    <n v="-1.0544843544206239"/>
    <n v="-34.098664894371325"/>
    <n v="0"/>
    <n v="0"/>
    <n v="0"/>
    <n v="-34.098664894371325"/>
  </r>
  <r>
    <x v="7"/>
    <d v="2021-09-03T00:00:00"/>
    <d v="2021-09-24T00:00:00"/>
    <x v="9"/>
    <n v="9"/>
    <n v="17"/>
    <n v="7.0559102035395256"/>
    <n v="5.1121348776600728"/>
    <n v="86.906292920221233"/>
    <n v="119.95047346017193"/>
    <n v="-33.044180539950702"/>
    <n v="-1.0544843544206239"/>
    <n v="-34.098664894371325"/>
    <n v="0"/>
    <n v="0"/>
    <n v="0"/>
    <n v="-34.098664894371325"/>
  </r>
  <r>
    <x v="8"/>
    <d v="2021-10-05T00:00:00"/>
    <d v="2021-10-25T00:00:00"/>
    <x v="9"/>
    <n v="9"/>
    <n v="16"/>
    <n v="7.0559102035395256"/>
    <n v="5.1121348776600728"/>
    <n v="81.794158042561165"/>
    <n v="112.89456325663241"/>
    <n v="-31.100405214071245"/>
    <n v="-0.99245586298411648"/>
    <n v="-32.09286107705536"/>
    <n v="0"/>
    <n v="0"/>
    <n v="0"/>
    <n v="-32.09286107705536"/>
  </r>
  <r>
    <x v="9"/>
    <d v="2021-11-03T00:00:00"/>
    <d v="2021-11-24T00:00:00"/>
    <x v="9"/>
    <n v="9"/>
    <n v="5"/>
    <n v="7.0559102035395256"/>
    <n v="5.1121348776600728"/>
    <n v="25.560674388300363"/>
    <n v="35.279551017697628"/>
    <n v="-9.7188766293972648"/>
    <n v="-0.31014245718253641"/>
    <n v="-10.029019086579801"/>
    <n v="0"/>
    <n v="0"/>
    <n v="0"/>
    <n v="-10.029019086579801"/>
  </r>
  <r>
    <x v="10"/>
    <d v="2021-12-03T00:00:00"/>
    <d v="2021-12-27T00:00:00"/>
    <x v="9"/>
    <n v="9"/>
    <n v="5"/>
    <n v="7.0559102035395256"/>
    <n v="5.1121348776600728"/>
    <n v="25.560674388300363"/>
    <n v="35.279551017697628"/>
    <n v="-9.7188766293972648"/>
    <n v="-0.31014245718253641"/>
    <n v="-10.029019086579801"/>
    <n v="0"/>
    <n v="0"/>
    <n v="0"/>
    <n v="-10.029019086579801"/>
  </r>
  <r>
    <x v="11"/>
    <d v="2022-01-05T00:00:00"/>
    <d v="2022-01-24T00:00:00"/>
    <x v="9"/>
    <n v="9"/>
    <n v="6"/>
    <n v="7.0559102035395256"/>
    <n v="5.1121348776600728"/>
    <n v="30.672809265960439"/>
    <n v="42.335461221237153"/>
    <n v="-11.662651955276715"/>
    <n v="-0.37217094861904371"/>
    <n v="-12.034822903895758"/>
    <n v="0"/>
    <n v="0"/>
    <n v="0"/>
    <n v="-12.034822903895758"/>
  </r>
  <r>
    <x v="0"/>
    <d v="2021-02-03T00:00:00"/>
    <d v="2021-02-24T00:00:00"/>
    <x v="10"/>
    <n v="9"/>
    <n v="3"/>
    <n v="7.0559102035395256"/>
    <n v="5.1121348776600728"/>
    <n v="15.336404632980219"/>
    <n v="21.167730610618577"/>
    <n v="-5.8313259776383575"/>
    <n v="-0.18608547430952185"/>
    <n v="-6.0174114519478792"/>
    <n v="0"/>
    <n v="0"/>
    <n v="0"/>
    <n v="-6.0174114519478792"/>
  </r>
  <r>
    <x v="1"/>
    <d v="2021-03-03T00:00:00"/>
    <d v="2021-03-24T00:00:00"/>
    <x v="10"/>
    <n v="9"/>
    <n v="5"/>
    <n v="7.0559102035395256"/>
    <n v="5.1121348776600728"/>
    <n v="25.560674388300363"/>
    <n v="35.279551017697628"/>
    <n v="-9.7188766293972648"/>
    <n v="-0.31014245718253641"/>
    <n v="-10.029019086579801"/>
    <n v="0"/>
    <n v="0"/>
    <n v="0"/>
    <n v="-10.029019086579801"/>
  </r>
  <r>
    <x v="2"/>
    <d v="2021-04-05T00:00:00"/>
    <d v="2021-04-26T00:00:00"/>
    <x v="10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3"/>
    <d v="2021-05-05T00:00:00"/>
    <d v="2021-05-24T00:00:00"/>
    <x v="10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4"/>
    <d v="2021-06-03T00:00:00"/>
    <d v="2021-06-24T00:00:00"/>
    <x v="10"/>
    <n v="9"/>
    <n v="3"/>
    <n v="7.0559102035395256"/>
    <n v="5.1121348776600728"/>
    <n v="15.336404632980219"/>
    <n v="21.167730610618577"/>
    <n v="-5.8313259776383575"/>
    <n v="-0.18608547430952185"/>
    <n v="-6.0174114519478792"/>
    <n v="0"/>
    <n v="0"/>
    <n v="0"/>
    <n v="-6.0174114519478792"/>
  </r>
  <r>
    <x v="5"/>
    <d v="2021-07-06T00:00:00"/>
    <d v="2021-07-24T00:00:00"/>
    <x v="10"/>
    <n v="9"/>
    <n v="5"/>
    <n v="7.0559102035395256"/>
    <n v="5.1121348776600728"/>
    <n v="25.560674388300363"/>
    <n v="35.279551017697628"/>
    <n v="-9.7188766293972648"/>
    <n v="-0.31014245718253641"/>
    <n v="-10.029019086579801"/>
    <n v="0"/>
    <n v="0"/>
    <n v="0"/>
    <n v="-10.029019086579801"/>
  </r>
  <r>
    <x v="6"/>
    <d v="2021-08-04T00:00:00"/>
    <d v="2021-08-24T00:00:00"/>
    <x v="10"/>
    <n v="9"/>
    <n v="5"/>
    <n v="7.0559102035395256"/>
    <n v="5.1121348776600728"/>
    <n v="25.560674388300363"/>
    <n v="35.279551017697628"/>
    <n v="-9.7188766293972648"/>
    <n v="-0.31014245718253641"/>
    <n v="-10.029019086579801"/>
    <n v="0"/>
    <n v="0"/>
    <n v="0"/>
    <n v="-10.029019086579801"/>
  </r>
  <r>
    <x v="7"/>
    <d v="2021-09-03T00:00:00"/>
    <d v="2021-09-24T00:00:00"/>
    <x v="10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8"/>
    <d v="2021-10-05T00:00:00"/>
    <d v="2021-10-25T00:00:00"/>
    <x v="10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9"/>
    <d v="2021-11-03T00:00:00"/>
    <d v="2021-11-24T00:00:00"/>
    <x v="10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10"/>
    <d v="2021-12-03T00:00:00"/>
    <d v="2021-12-27T00:00:00"/>
    <x v="10"/>
    <n v="9"/>
    <n v="4"/>
    <n v="7.0559102035395256"/>
    <n v="5.1121348776600728"/>
    <n v="20.448539510640291"/>
    <n v="28.223640814158102"/>
    <n v="-7.7751013035178111"/>
    <n v="-0.24811396574602912"/>
    <n v="-8.0232152692638401"/>
    <n v="0"/>
    <n v="0"/>
    <n v="0"/>
    <n v="-8.0232152692638401"/>
  </r>
  <r>
    <x v="11"/>
    <d v="2022-01-05T00:00:00"/>
    <d v="2022-01-24T00:00:00"/>
    <x v="10"/>
    <n v="9"/>
    <n v="1"/>
    <n v="7.0559102035395256"/>
    <n v="5.1121348776600728"/>
    <n v="5.1121348776600728"/>
    <n v="7.0559102035395256"/>
    <n v="-1.9437753258794528"/>
    <n v="-6.202849143650728E-2"/>
    <n v="-2.00580381731596"/>
    <n v="0"/>
    <n v="0"/>
    <n v="0"/>
    <n v="-2.00580381731596"/>
  </r>
  <r>
    <x v="0"/>
    <d v="2021-02-03T00:00:00"/>
    <d v="2021-02-24T00:00:00"/>
    <x v="11"/>
    <n v="9"/>
    <n v="104"/>
    <n v="7.0559102035395256"/>
    <n v="5.1121348776600728"/>
    <n v="531.66202727664756"/>
    <n v="733.81466116811066"/>
    <n v="-202.1526338914631"/>
    <n v="-6.4509631093967581"/>
    <n v="-208.60359700085985"/>
    <n v="0"/>
    <n v="0"/>
    <n v="0"/>
    <n v="-208.60359700085985"/>
  </r>
  <r>
    <x v="1"/>
    <d v="2021-03-03T00:00:00"/>
    <d v="2021-03-24T00:00:00"/>
    <x v="11"/>
    <n v="9"/>
    <n v="133"/>
    <n v="7.0559102035395256"/>
    <n v="5.1121348776600728"/>
    <n v="679.91393872878973"/>
    <n v="938.43605707075687"/>
    <n v="-258.52211834196714"/>
    <n v="-8.249789361055468"/>
    <n v="-266.77190770302263"/>
    <n v="0"/>
    <n v="0"/>
    <n v="0"/>
    <n v="-266.77190770302263"/>
  </r>
  <r>
    <x v="2"/>
    <d v="2021-04-05T00:00:00"/>
    <d v="2021-04-26T00:00:00"/>
    <x v="11"/>
    <n v="9"/>
    <n v="87"/>
    <n v="7.0559102035395256"/>
    <n v="5.1121348776600728"/>
    <n v="444.75573435642633"/>
    <n v="613.86418770793875"/>
    <n v="-169.10845335151242"/>
    <n v="-5.3964787549761342"/>
    <n v="-174.50493210648855"/>
    <n v="0"/>
    <n v="0"/>
    <n v="0"/>
    <n v="-174.50493210648855"/>
  </r>
  <r>
    <x v="3"/>
    <d v="2021-05-05T00:00:00"/>
    <d v="2021-05-24T00:00:00"/>
    <x v="11"/>
    <n v="9"/>
    <n v="77"/>
    <n v="7.0559102035395256"/>
    <n v="5.1121348776600728"/>
    <n v="393.63438557982562"/>
    <n v="543.30508567254344"/>
    <n v="-149.67070009271782"/>
    <n v="-4.7761938406110609"/>
    <n v="-154.44689393332888"/>
    <n v="0"/>
    <n v="0"/>
    <n v="0"/>
    <n v="-154.44689393332888"/>
  </r>
  <r>
    <x v="4"/>
    <d v="2021-06-03T00:00:00"/>
    <d v="2021-06-24T00:00:00"/>
    <x v="11"/>
    <n v="9"/>
    <n v="104"/>
    <n v="7.0559102035395256"/>
    <n v="5.1121348776600728"/>
    <n v="531.66202727664756"/>
    <n v="733.81466116811066"/>
    <n v="-202.1526338914631"/>
    <n v="-6.4509631093967581"/>
    <n v="-208.60359700085985"/>
    <n v="0"/>
    <n v="0"/>
    <n v="0"/>
    <n v="-208.60359700085985"/>
  </r>
  <r>
    <x v="5"/>
    <d v="2021-07-06T00:00:00"/>
    <d v="2021-07-24T00:00:00"/>
    <x v="11"/>
    <n v="9"/>
    <n v="144"/>
    <n v="7.0559102035395256"/>
    <n v="5.1121348776600728"/>
    <n v="736.14742238305053"/>
    <n v="1016.0510693096917"/>
    <n v="-279.90364692664116"/>
    <n v="-8.9321027668570494"/>
    <n v="-288.8357496934982"/>
    <n v="0"/>
    <n v="0"/>
    <n v="0"/>
    <n v="-288.8357496934982"/>
  </r>
  <r>
    <x v="6"/>
    <d v="2021-08-04T00:00:00"/>
    <d v="2021-08-24T00:00:00"/>
    <x v="11"/>
    <n v="9"/>
    <n v="161"/>
    <n v="7.0559102035395256"/>
    <n v="5.1121348776600728"/>
    <n v="823.0537153032717"/>
    <n v="1136.0015427698636"/>
    <n v="-312.94782746659189"/>
    <n v="-9.9865871212776725"/>
    <n v="-322.93441458786958"/>
    <n v="0"/>
    <n v="0"/>
    <n v="0"/>
    <n v="-322.93441458786958"/>
  </r>
  <r>
    <x v="7"/>
    <d v="2021-09-03T00:00:00"/>
    <d v="2021-09-24T00:00:00"/>
    <x v="11"/>
    <n v="9"/>
    <n v="163"/>
    <n v="7.0559102035395256"/>
    <n v="5.1121348776600728"/>
    <n v="833.27798505859187"/>
    <n v="1150.1133631769426"/>
    <n v="-316.83537811835072"/>
    <n v="-10.110644104150687"/>
    <n v="-326.94602222250143"/>
    <n v="0"/>
    <n v="0"/>
    <n v="0"/>
    <n v="-326.94602222250143"/>
  </r>
  <r>
    <x v="8"/>
    <d v="2021-10-05T00:00:00"/>
    <d v="2021-10-25T00:00:00"/>
    <x v="11"/>
    <n v="9"/>
    <n v="153"/>
    <n v="7.0559102035395256"/>
    <n v="5.1121348776600728"/>
    <n v="782.15663628199115"/>
    <n v="1079.5542611415474"/>
    <n v="-297.39762485955623"/>
    <n v="-9.4903591897856145"/>
    <n v="-306.88798404934187"/>
    <n v="0"/>
    <n v="0"/>
    <n v="0"/>
    <n v="-306.88798404934187"/>
  </r>
  <r>
    <x v="9"/>
    <d v="2021-11-03T00:00:00"/>
    <d v="2021-11-24T00:00:00"/>
    <x v="11"/>
    <n v="9"/>
    <n v="117"/>
    <n v="7.0559102035395256"/>
    <n v="5.1121348776600728"/>
    <n v="598.11978068622852"/>
    <n v="825.54149381412446"/>
    <n v="-227.42171312789594"/>
    <n v="-7.2573334980713522"/>
    <n v="-234.67904662596729"/>
    <n v="0"/>
    <n v="0"/>
    <n v="0"/>
    <n v="-234.67904662596729"/>
  </r>
  <r>
    <x v="10"/>
    <d v="2021-12-03T00:00:00"/>
    <d v="2021-12-27T00:00:00"/>
    <x v="11"/>
    <n v="9"/>
    <n v="91"/>
    <n v="7.0559102035395256"/>
    <n v="5.1121348776600728"/>
    <n v="465.2042738670666"/>
    <n v="642.08782852209686"/>
    <n v="-176.88355465503025"/>
    <n v="-5.6445927207221631"/>
    <n v="-182.52814737575241"/>
    <n v="0"/>
    <n v="0"/>
    <n v="0"/>
    <n v="-182.52814737575241"/>
  </r>
  <r>
    <x v="11"/>
    <d v="2022-01-05T00:00:00"/>
    <d v="2022-01-24T00:00:00"/>
    <x v="11"/>
    <n v="9"/>
    <n v="94"/>
    <n v="7.0559102035395256"/>
    <n v="5.1121348776600728"/>
    <n v="480.54067850004685"/>
    <n v="663.25555913271546"/>
    <n v="-182.71488063266861"/>
    <n v="-5.8306781950316848"/>
    <n v="-188.54555882770029"/>
    <n v="0"/>
    <n v="0"/>
    <n v="0"/>
    <n v="-188.54555882770029"/>
  </r>
  <r>
    <x v="0"/>
    <d v="2021-02-03T00:00:00"/>
    <d v="2021-02-24T00:00:00"/>
    <x v="12"/>
    <n v="9"/>
    <n v="11"/>
    <n v="7.0559102035395256"/>
    <n v="5.1121348776600728"/>
    <n v="56.233483654260802"/>
    <n v="77.615012238934781"/>
    <n v="-21.38152858467398"/>
    <n v="-0.68231340580158018"/>
    <n v="-22.063841990475559"/>
    <n v="0"/>
    <n v="0"/>
    <n v="0"/>
    <n v="-22.063841990475559"/>
  </r>
  <r>
    <x v="1"/>
    <d v="2021-03-03T00:00:00"/>
    <d v="2021-03-24T00:00:00"/>
    <x v="12"/>
    <n v="9"/>
    <n v="8"/>
    <n v="7.0559102035395256"/>
    <n v="5.1121348776600728"/>
    <n v="40.897079021280582"/>
    <n v="56.447281628316205"/>
    <n v="-15.550202607035622"/>
    <n v="-0.49622793149205824"/>
    <n v="-16.04643053852768"/>
    <n v="0"/>
    <n v="0"/>
    <n v="0"/>
    <n v="-16.04643053852768"/>
  </r>
  <r>
    <x v="2"/>
    <d v="2021-04-05T00:00:00"/>
    <d v="2021-04-26T00:00:00"/>
    <x v="12"/>
    <n v="9"/>
    <n v="7"/>
    <n v="7.0559102035395256"/>
    <n v="5.1121348776600728"/>
    <n v="35.784944143620507"/>
    <n v="49.391371424776679"/>
    <n v="-13.606427281156172"/>
    <n v="-0.434199440055551"/>
    <n v="-14.040626721211723"/>
    <n v="0"/>
    <n v="0"/>
    <n v="0"/>
    <n v="-14.040626721211723"/>
  </r>
  <r>
    <x v="3"/>
    <d v="2021-05-05T00:00:00"/>
    <d v="2021-05-24T00:00:00"/>
    <x v="12"/>
    <n v="9"/>
    <n v="12"/>
    <n v="7.0559102035395256"/>
    <n v="5.1121348776600728"/>
    <n v="61.345618531920877"/>
    <n v="84.670922442474307"/>
    <n v="-23.32530391055343"/>
    <n v="-0.74434189723808741"/>
    <n v="-24.069645807791517"/>
    <n v="0"/>
    <n v="0"/>
    <n v="0"/>
    <n v="-24.069645807791517"/>
  </r>
  <r>
    <x v="4"/>
    <d v="2021-06-03T00:00:00"/>
    <d v="2021-06-24T00:00:00"/>
    <x v="12"/>
    <n v="9"/>
    <n v="11"/>
    <n v="7.0559102035395256"/>
    <n v="5.1121348776600728"/>
    <n v="56.233483654260802"/>
    <n v="77.615012238934781"/>
    <n v="-21.38152858467398"/>
    <n v="-0.68231340580158018"/>
    <n v="-22.063841990475559"/>
    <n v="0"/>
    <n v="0"/>
    <n v="0"/>
    <n v="-22.063841990475559"/>
  </r>
  <r>
    <x v="5"/>
    <d v="2021-07-06T00:00:00"/>
    <d v="2021-07-24T00:00:00"/>
    <x v="12"/>
    <n v="9"/>
    <n v="13"/>
    <n v="7.0559102035395256"/>
    <n v="5.1121348776600728"/>
    <n v="66.457753409580945"/>
    <n v="91.726832646013833"/>
    <n v="-25.269079236432887"/>
    <n v="-0.80637038867459476"/>
    <n v="-26.075449625107481"/>
    <n v="0"/>
    <n v="0"/>
    <n v="0"/>
    <n v="-26.075449625107481"/>
  </r>
  <r>
    <x v="6"/>
    <d v="2021-08-04T00:00:00"/>
    <d v="2021-08-24T00:00:00"/>
    <x v="12"/>
    <n v="9"/>
    <n v="13"/>
    <n v="7.0559102035395256"/>
    <n v="5.1121348776600728"/>
    <n v="66.457753409580945"/>
    <n v="91.726832646013833"/>
    <n v="-25.269079236432887"/>
    <n v="-0.80637038867459476"/>
    <n v="-26.075449625107481"/>
    <n v="0"/>
    <n v="0"/>
    <n v="0"/>
    <n v="-26.075449625107481"/>
  </r>
  <r>
    <x v="7"/>
    <d v="2021-09-03T00:00:00"/>
    <d v="2021-09-24T00:00:00"/>
    <x v="12"/>
    <n v="9"/>
    <n v="12"/>
    <n v="7.0559102035395256"/>
    <n v="5.1121348776600728"/>
    <n v="61.345618531920877"/>
    <n v="84.670922442474307"/>
    <n v="-23.32530391055343"/>
    <n v="-0.74434189723808741"/>
    <n v="-24.069645807791517"/>
    <n v="0"/>
    <n v="0"/>
    <n v="0"/>
    <n v="-24.069645807791517"/>
  </r>
  <r>
    <x v="8"/>
    <d v="2021-10-05T00:00:00"/>
    <d v="2021-10-25T00:00:00"/>
    <x v="12"/>
    <n v="9"/>
    <n v="13"/>
    <n v="7.0559102035395256"/>
    <n v="5.1121348776600728"/>
    <n v="66.457753409580945"/>
    <n v="91.726832646013833"/>
    <n v="-25.269079236432887"/>
    <n v="-0.80637038867459476"/>
    <n v="-26.075449625107481"/>
    <n v="0"/>
    <n v="0"/>
    <n v="0"/>
    <n v="-26.075449625107481"/>
  </r>
  <r>
    <x v="9"/>
    <d v="2021-11-03T00:00:00"/>
    <d v="2021-11-24T00:00:00"/>
    <x v="12"/>
    <n v="9"/>
    <n v="8"/>
    <n v="7.0559102035395256"/>
    <n v="5.1121348776600728"/>
    <n v="40.897079021280582"/>
    <n v="56.447281628316205"/>
    <n v="-15.550202607035622"/>
    <n v="-0.49622793149205824"/>
    <n v="-16.04643053852768"/>
    <n v="0"/>
    <n v="0"/>
    <n v="0"/>
    <n v="-16.04643053852768"/>
  </r>
  <r>
    <x v="10"/>
    <d v="2021-12-03T00:00:00"/>
    <d v="2021-12-27T00:00:00"/>
    <x v="12"/>
    <n v="9"/>
    <n v="8"/>
    <n v="7.0559102035395256"/>
    <n v="5.1121348776600728"/>
    <n v="40.897079021280582"/>
    <n v="56.447281628316205"/>
    <n v="-15.550202607035622"/>
    <n v="-0.49622793149205824"/>
    <n v="-16.04643053852768"/>
    <n v="0"/>
    <n v="0"/>
    <n v="0"/>
    <n v="-16.04643053852768"/>
  </r>
  <r>
    <x v="11"/>
    <d v="2022-01-05T00:00:00"/>
    <d v="2022-01-24T00:00:00"/>
    <x v="12"/>
    <n v="9"/>
    <n v="11"/>
    <n v="7.0559102035395256"/>
    <n v="5.1121348776600728"/>
    <n v="56.233483654260802"/>
    <n v="77.615012238934781"/>
    <n v="-21.38152858467398"/>
    <n v="-0.68231340580158018"/>
    <n v="-22.063841990475559"/>
    <n v="0"/>
    <n v="0"/>
    <n v="0"/>
    <n v="-22.063841990475559"/>
  </r>
  <r>
    <x v="0"/>
    <d v="2021-02-03T00:00:00"/>
    <d v="2021-02-24T00:00:00"/>
    <x v="13"/>
    <n v="9"/>
    <n v="20"/>
    <n v="7.0559102035395256"/>
    <n v="5.1121348776600728"/>
    <n v="102.24269755320145"/>
    <n v="141.11820407079051"/>
    <n v="-38.875506517589059"/>
    <n v="-1.2405698287301457"/>
    <n v="-40.116076346319204"/>
    <n v="0"/>
    <n v="0"/>
    <n v="0"/>
    <n v="-40.116076346319204"/>
  </r>
  <r>
    <x v="1"/>
    <d v="2021-03-03T00:00:00"/>
    <d v="2021-03-24T00:00:00"/>
    <x v="13"/>
    <n v="9"/>
    <n v="23"/>
    <n v="7.0559102035395256"/>
    <n v="5.1121348776600728"/>
    <n v="117.57910218618167"/>
    <n v="162.28593468140909"/>
    <n v="-44.706832495227417"/>
    <n v="-1.4266553030396676"/>
    <n v="-46.133487798267083"/>
    <n v="0"/>
    <n v="0"/>
    <n v="0"/>
    <n v="-46.133487798267083"/>
  </r>
  <r>
    <x v="2"/>
    <d v="2021-04-05T00:00:00"/>
    <d v="2021-04-26T00:00:00"/>
    <x v="13"/>
    <n v="9"/>
    <n v="16"/>
    <n v="7.0559102035395256"/>
    <n v="5.1121348776600728"/>
    <n v="81.794158042561165"/>
    <n v="112.89456325663241"/>
    <n v="-31.100405214071245"/>
    <n v="-0.99245586298411648"/>
    <n v="-32.09286107705536"/>
    <n v="0"/>
    <n v="0"/>
    <n v="0"/>
    <n v="-32.09286107705536"/>
  </r>
  <r>
    <x v="3"/>
    <d v="2021-05-05T00:00:00"/>
    <d v="2021-05-24T00:00:00"/>
    <x v="13"/>
    <n v="9"/>
    <n v="20"/>
    <n v="7.0559102035395256"/>
    <n v="5.1121348776600728"/>
    <n v="102.24269755320145"/>
    <n v="141.11820407079051"/>
    <n v="-38.875506517589059"/>
    <n v="-1.2405698287301457"/>
    <n v="-40.116076346319204"/>
    <n v="0"/>
    <n v="0"/>
    <n v="0"/>
    <n v="-40.116076346319204"/>
  </r>
  <r>
    <x v="4"/>
    <d v="2021-06-03T00:00:00"/>
    <d v="2021-06-24T00:00:00"/>
    <x v="13"/>
    <n v="9"/>
    <n v="27"/>
    <n v="7.0559102035395256"/>
    <n v="5.1121348776600728"/>
    <n v="138.02764169682197"/>
    <n v="190.50957549556719"/>
    <n v="-52.481933798745217"/>
    <n v="-1.6747692687856968"/>
    <n v="-54.156703067530913"/>
    <n v="0"/>
    <n v="0"/>
    <n v="0"/>
    <n v="-54.156703067530913"/>
  </r>
  <r>
    <x v="5"/>
    <d v="2021-07-06T00:00:00"/>
    <d v="2021-07-24T00:00:00"/>
    <x v="13"/>
    <n v="9"/>
    <n v="32"/>
    <n v="7.0559102035395256"/>
    <n v="5.1121348776600728"/>
    <n v="163.58831608512233"/>
    <n v="225.78912651326482"/>
    <n v="-62.200810428142489"/>
    <n v="-1.984911725968233"/>
    <n v="-64.185722154110721"/>
    <n v="0"/>
    <n v="0"/>
    <n v="0"/>
    <n v="-64.185722154110721"/>
  </r>
  <r>
    <x v="6"/>
    <d v="2021-08-04T00:00:00"/>
    <d v="2021-08-24T00:00:00"/>
    <x v="13"/>
    <n v="9"/>
    <n v="37"/>
    <n v="7.0559102035395256"/>
    <n v="5.1121348776600728"/>
    <n v="189.14899047342269"/>
    <n v="261.06867753096242"/>
    <n v="-71.919687057539733"/>
    <n v="-2.2950541831507696"/>
    <n v="-74.2147412406905"/>
    <n v="0"/>
    <n v="0"/>
    <n v="0"/>
    <n v="-74.2147412406905"/>
  </r>
  <r>
    <x v="7"/>
    <d v="2021-09-03T00:00:00"/>
    <d v="2021-09-24T00:00:00"/>
    <x v="13"/>
    <n v="9"/>
    <n v="33"/>
    <n v="7.0559102035395256"/>
    <n v="5.1121348776600728"/>
    <n v="168.70045096278241"/>
    <n v="232.84503671680434"/>
    <n v="-64.144585754021932"/>
    <n v="-2.0469402174047402"/>
    <n v="-66.191525971426671"/>
    <n v="0"/>
    <n v="0"/>
    <n v="0"/>
    <n v="-66.191525971426671"/>
  </r>
  <r>
    <x v="8"/>
    <d v="2021-10-05T00:00:00"/>
    <d v="2021-10-25T00:00:00"/>
    <x v="13"/>
    <n v="9"/>
    <n v="37"/>
    <n v="7.0559102035395256"/>
    <n v="5.1121348776600728"/>
    <n v="189.14899047342269"/>
    <n v="261.06867753096242"/>
    <n v="-71.919687057539733"/>
    <n v="-2.2950541831507696"/>
    <n v="-74.2147412406905"/>
    <n v="0"/>
    <n v="0"/>
    <n v="0"/>
    <n v="-74.2147412406905"/>
  </r>
  <r>
    <x v="9"/>
    <d v="2021-11-03T00:00:00"/>
    <d v="2021-11-24T00:00:00"/>
    <x v="13"/>
    <n v="9"/>
    <n v="27"/>
    <n v="7.0559102035395256"/>
    <n v="5.1121348776600728"/>
    <n v="138.02764169682197"/>
    <n v="190.50957549556719"/>
    <n v="-52.481933798745217"/>
    <n v="-1.6747692687856968"/>
    <n v="-54.156703067530913"/>
    <n v="0"/>
    <n v="0"/>
    <n v="0"/>
    <n v="-54.156703067530913"/>
  </r>
  <r>
    <x v="10"/>
    <d v="2021-12-03T00:00:00"/>
    <d v="2021-12-27T00:00:00"/>
    <x v="13"/>
    <n v="9"/>
    <n v="16"/>
    <n v="7.0559102035395256"/>
    <n v="5.1121348776600728"/>
    <n v="81.794158042561165"/>
    <n v="112.89456325663241"/>
    <n v="-31.100405214071245"/>
    <n v="-0.99245586298411648"/>
    <n v="-32.09286107705536"/>
    <n v="0"/>
    <n v="0"/>
    <n v="0"/>
    <n v="-32.09286107705536"/>
  </r>
  <r>
    <x v="11"/>
    <d v="2022-01-05T00:00:00"/>
    <d v="2022-01-24T00:00:00"/>
    <x v="13"/>
    <n v="9"/>
    <n v="19"/>
    <n v="7.0559102035395256"/>
    <n v="5.1121348776600728"/>
    <n v="97.130562675541384"/>
    <n v="134.06229386725099"/>
    <n v="-36.931731191709602"/>
    <n v="-1.1785413372936384"/>
    <n v="-38.11027252900324"/>
    <n v="0"/>
    <n v="0"/>
    <n v="0"/>
    <n v="-38.11027252900324"/>
  </r>
  <r>
    <x v="0"/>
    <d v="2021-02-03T00:00:00"/>
    <d v="2021-02-24T00:00:00"/>
    <x v="14"/>
    <n v="9"/>
    <n v="35"/>
    <n v="7.0559102035395256"/>
    <n v="5.1121348776600728"/>
    <n v="178.92472071810255"/>
    <n v="246.9568571238834"/>
    <n v="-68.032136405780847"/>
    <n v="-2.1709972002777551"/>
    <n v="-70.2031336060586"/>
    <n v="0"/>
    <n v="0"/>
    <n v="0"/>
    <n v="-70.2031336060586"/>
  </r>
  <r>
    <x v="1"/>
    <d v="2021-03-03T00:00:00"/>
    <d v="2021-03-24T00:00:00"/>
    <x v="14"/>
    <n v="9"/>
    <n v="33"/>
    <n v="7.0559102035395256"/>
    <n v="5.1121348776600728"/>
    <n v="168.70045096278241"/>
    <n v="232.84503671680434"/>
    <n v="-64.144585754021932"/>
    <n v="-2.0469402174047402"/>
    <n v="-66.191525971426671"/>
    <n v="0"/>
    <n v="0"/>
    <n v="0"/>
    <n v="-66.191525971426671"/>
  </r>
  <r>
    <x v="2"/>
    <d v="2021-04-05T00:00:00"/>
    <d v="2021-04-26T00:00:00"/>
    <x v="14"/>
    <n v="9"/>
    <n v="30"/>
    <n v="7.0559102035395256"/>
    <n v="5.1121348776600728"/>
    <n v="153.36404632980219"/>
    <n v="211.67730610618577"/>
    <n v="-58.313259776383575"/>
    <n v="-1.8608547430952185"/>
    <n v="-60.174114519478792"/>
    <n v="0"/>
    <n v="0"/>
    <n v="0"/>
    <n v="-60.174114519478792"/>
  </r>
  <r>
    <x v="3"/>
    <d v="2021-05-05T00:00:00"/>
    <d v="2021-05-24T00:00:00"/>
    <x v="14"/>
    <n v="9"/>
    <n v="32"/>
    <n v="7.0559102035395256"/>
    <n v="5.1121348776600728"/>
    <n v="163.58831608512233"/>
    <n v="225.78912651326482"/>
    <n v="-62.200810428142489"/>
    <n v="-1.984911725968233"/>
    <n v="-64.185722154110721"/>
    <n v="0"/>
    <n v="0"/>
    <n v="0"/>
    <n v="-64.185722154110721"/>
  </r>
  <r>
    <x v="4"/>
    <d v="2021-06-03T00:00:00"/>
    <d v="2021-06-24T00:00:00"/>
    <x v="14"/>
    <n v="9"/>
    <n v="40"/>
    <n v="7.0559102035395256"/>
    <n v="5.1121348776600728"/>
    <n v="204.4853951064029"/>
    <n v="282.23640814158102"/>
    <n v="-77.751013035178119"/>
    <n v="-2.4811396574602913"/>
    <n v="-80.232152692638408"/>
    <n v="0"/>
    <n v="0"/>
    <n v="0"/>
    <n v="-80.232152692638408"/>
  </r>
  <r>
    <x v="5"/>
    <d v="2021-07-06T00:00:00"/>
    <d v="2021-07-24T00:00:00"/>
    <x v="14"/>
    <n v="9"/>
    <n v="46"/>
    <n v="7.0559102035395256"/>
    <n v="5.1121348776600728"/>
    <n v="235.15820437236334"/>
    <n v="324.57186936281818"/>
    <n v="-89.413664990454834"/>
    <n v="-2.8533106060793352"/>
    <n v="-92.266975596534166"/>
    <n v="0"/>
    <n v="0"/>
    <n v="0"/>
    <n v="-92.266975596534166"/>
  </r>
  <r>
    <x v="6"/>
    <d v="2021-08-04T00:00:00"/>
    <d v="2021-08-24T00:00:00"/>
    <x v="14"/>
    <n v="9"/>
    <n v="48"/>
    <n v="7.0559102035395256"/>
    <n v="5.1121348776600728"/>
    <n v="245.38247412768351"/>
    <n v="338.68368976989723"/>
    <n v="-93.30121564221372"/>
    <n v="-2.9773675889523497"/>
    <n v="-96.278583231166067"/>
    <n v="0"/>
    <n v="0"/>
    <n v="0"/>
    <n v="-96.278583231166067"/>
  </r>
  <r>
    <x v="7"/>
    <d v="2021-09-03T00:00:00"/>
    <d v="2021-09-24T00:00:00"/>
    <x v="14"/>
    <n v="9"/>
    <n v="50"/>
    <n v="7.0559102035395256"/>
    <n v="5.1121348776600728"/>
    <n v="255.60674388300365"/>
    <n v="352.79551017697628"/>
    <n v="-97.188766293972634"/>
    <n v="-3.1014245718253646"/>
    <n v="-100.290190865798"/>
    <n v="0"/>
    <n v="0"/>
    <n v="0"/>
    <n v="-100.290190865798"/>
  </r>
  <r>
    <x v="8"/>
    <d v="2021-10-05T00:00:00"/>
    <d v="2021-10-25T00:00:00"/>
    <x v="14"/>
    <n v="9"/>
    <n v="52"/>
    <n v="7.0559102035395256"/>
    <n v="5.1121348776600728"/>
    <n v="265.83101363832378"/>
    <n v="366.90733058405533"/>
    <n v="-101.07631694573155"/>
    <n v="-3.225481554698379"/>
    <n v="-104.30179850042992"/>
    <n v="0"/>
    <n v="0"/>
    <n v="0"/>
    <n v="-104.30179850042992"/>
  </r>
  <r>
    <x v="9"/>
    <d v="2021-11-03T00:00:00"/>
    <d v="2021-11-24T00:00:00"/>
    <x v="14"/>
    <n v="9"/>
    <n v="40"/>
    <n v="7.0559102035395256"/>
    <n v="5.1121348776600728"/>
    <n v="204.4853951064029"/>
    <n v="282.23640814158102"/>
    <n v="-77.751013035178119"/>
    <n v="-2.4811396574602913"/>
    <n v="-80.232152692638408"/>
    <n v="0"/>
    <n v="0"/>
    <n v="0"/>
    <n v="-80.232152692638408"/>
  </r>
  <r>
    <x v="10"/>
    <d v="2021-12-03T00:00:00"/>
    <d v="2021-12-27T00:00:00"/>
    <x v="14"/>
    <n v="9"/>
    <n v="32"/>
    <n v="7.0559102035395256"/>
    <n v="5.1121348776600728"/>
    <n v="163.58831608512233"/>
    <n v="225.78912651326482"/>
    <n v="-62.200810428142489"/>
    <n v="-1.984911725968233"/>
    <n v="-64.185722154110721"/>
    <n v="0"/>
    <n v="0"/>
    <n v="0"/>
    <n v="-64.185722154110721"/>
  </r>
  <r>
    <x v="11"/>
    <d v="2022-01-05T00:00:00"/>
    <d v="2022-01-24T00:00:00"/>
    <x v="14"/>
    <n v="9"/>
    <n v="35"/>
    <n v="7.0559102035395256"/>
    <n v="5.1121348776600728"/>
    <n v="178.92472071810255"/>
    <n v="246.9568571238834"/>
    <n v="-68.032136405780847"/>
    <n v="-2.1709972002777551"/>
    <n v="-70.2031336060586"/>
    <n v="0"/>
    <n v="0"/>
    <n v="0"/>
    <n v="-70.2031336060586"/>
  </r>
  <r>
    <x v="0"/>
    <d v="2021-02-03T00:00:00"/>
    <d v="2021-02-24T00:00:00"/>
    <x v="15"/>
    <n v="9"/>
    <n v="94"/>
    <n v="7.0559102035395256"/>
    <n v="5.1121348776600728"/>
    <n v="480.54067850004685"/>
    <n v="663.25555913271546"/>
    <n v="-182.71488063266861"/>
    <n v="-5.8306781950316848"/>
    <n v="-188.54555882770029"/>
    <n v="0"/>
    <n v="0"/>
    <n v="0"/>
    <n v="-188.54555882770029"/>
  </r>
  <r>
    <x v="1"/>
    <d v="2021-03-03T00:00:00"/>
    <d v="2021-03-24T00:00:00"/>
    <x v="15"/>
    <n v="9"/>
    <n v="100"/>
    <n v="7.0559102035395256"/>
    <n v="5.1121348776600728"/>
    <n v="511.21348776600729"/>
    <n v="705.59102035395256"/>
    <n v="-194.37753258794527"/>
    <n v="-6.2028491436507291"/>
    <n v="-200.58038173159599"/>
    <n v="0"/>
    <n v="0"/>
    <n v="0"/>
    <n v="-200.58038173159599"/>
  </r>
  <r>
    <x v="2"/>
    <d v="2021-04-05T00:00:00"/>
    <d v="2021-04-26T00:00:00"/>
    <x v="15"/>
    <n v="9"/>
    <n v="101"/>
    <n v="7.0559102035395256"/>
    <n v="5.1121348776600728"/>
    <n v="516.32562264366732"/>
    <n v="712.64693055749206"/>
    <n v="-196.32130791382474"/>
    <n v="-6.2648776350872364"/>
    <n v="-202.58618554891197"/>
    <n v="0"/>
    <n v="0"/>
    <n v="0"/>
    <n v="-202.58618554891197"/>
  </r>
  <r>
    <x v="3"/>
    <d v="2021-05-05T00:00:00"/>
    <d v="2021-05-24T00:00:00"/>
    <x v="15"/>
    <n v="9"/>
    <n v="98"/>
    <n v="7.0559102035395256"/>
    <n v="5.1121348776600728"/>
    <n v="500.98921801068713"/>
    <n v="691.47919994687345"/>
    <n v="-190.48998193618633"/>
    <n v="-6.0787921607777147"/>
    <n v="-196.56877409696403"/>
    <n v="0"/>
    <n v="0"/>
    <n v="0"/>
    <n v="-196.56877409696403"/>
  </r>
  <r>
    <x v="4"/>
    <d v="2021-06-03T00:00:00"/>
    <d v="2021-06-24T00:00:00"/>
    <x v="15"/>
    <n v="9"/>
    <n v="99"/>
    <n v="7.0559102035395256"/>
    <n v="5.1121348776600728"/>
    <n v="506.10135288834721"/>
    <n v="698.53511015041306"/>
    <n v="-192.43375726206585"/>
    <n v="-6.1408206522142219"/>
    <n v="-198.57457791428007"/>
    <n v="0"/>
    <n v="0"/>
    <n v="0"/>
    <n v="-198.57457791428007"/>
  </r>
  <r>
    <x v="5"/>
    <d v="2021-07-06T00:00:00"/>
    <d v="2021-07-24T00:00:00"/>
    <x v="15"/>
    <n v="9"/>
    <n v="113"/>
    <n v="7.0559102035395256"/>
    <n v="5.1121348776600728"/>
    <n v="577.67124117558819"/>
    <n v="797.31785299996636"/>
    <n v="-219.64661182437817"/>
    <n v="-7.0092195323253232"/>
    <n v="-226.65583135670349"/>
    <n v="0"/>
    <n v="0"/>
    <n v="0"/>
    <n v="-226.65583135670349"/>
  </r>
  <r>
    <x v="6"/>
    <d v="2021-08-04T00:00:00"/>
    <d v="2021-08-24T00:00:00"/>
    <x v="15"/>
    <n v="9"/>
    <n v="116"/>
    <n v="7.0559102035395256"/>
    <n v="5.1121348776600728"/>
    <n v="593.00764580856844"/>
    <n v="818.48558361058497"/>
    <n v="-225.47793780201653"/>
    <n v="-7.195305006634845"/>
    <n v="-232.67324280865137"/>
    <n v="0"/>
    <n v="0"/>
    <n v="0"/>
    <n v="-232.67324280865137"/>
  </r>
  <r>
    <x v="7"/>
    <d v="2021-09-03T00:00:00"/>
    <d v="2021-09-24T00:00:00"/>
    <x v="15"/>
    <n v="9"/>
    <n v="116"/>
    <n v="7.0559102035395256"/>
    <n v="5.1121348776600728"/>
    <n v="593.00764580856844"/>
    <n v="818.48558361058497"/>
    <n v="-225.47793780201653"/>
    <n v="-7.195305006634845"/>
    <n v="-232.67324280865137"/>
    <n v="0"/>
    <n v="0"/>
    <n v="0"/>
    <n v="-232.67324280865137"/>
  </r>
  <r>
    <x v="8"/>
    <d v="2021-10-05T00:00:00"/>
    <d v="2021-10-25T00:00:00"/>
    <x v="15"/>
    <n v="9"/>
    <n v="116"/>
    <n v="7.0559102035395256"/>
    <n v="5.1121348776600728"/>
    <n v="593.00764580856844"/>
    <n v="818.48558361058497"/>
    <n v="-225.47793780201653"/>
    <n v="-7.195305006634845"/>
    <n v="-232.67324280865137"/>
    <n v="0"/>
    <n v="0"/>
    <n v="0"/>
    <n v="-232.67324280865137"/>
  </r>
  <r>
    <x v="9"/>
    <d v="2021-11-03T00:00:00"/>
    <d v="2021-11-24T00:00:00"/>
    <x v="15"/>
    <n v="9"/>
    <n v="105"/>
    <n v="7.0559102035395256"/>
    <n v="5.1121348776600728"/>
    <n v="536.77416215430765"/>
    <n v="740.87057137165016"/>
    <n v="-204.09640921734251"/>
    <n v="-6.5129916008332653"/>
    <n v="-210.60940081817577"/>
    <n v="0"/>
    <n v="0"/>
    <n v="0"/>
    <n v="-210.60940081817577"/>
  </r>
  <r>
    <x v="10"/>
    <d v="2021-12-03T00:00:00"/>
    <d v="2021-12-27T00:00:00"/>
    <x v="15"/>
    <n v="9"/>
    <n v="100"/>
    <n v="7.0559102035395256"/>
    <n v="5.1121348776600728"/>
    <n v="511.21348776600729"/>
    <n v="705.59102035395256"/>
    <n v="-194.37753258794527"/>
    <n v="-6.2028491436507291"/>
    <n v="-200.58038173159599"/>
    <n v="0"/>
    <n v="0"/>
    <n v="0"/>
    <n v="-200.58038173159599"/>
  </r>
  <r>
    <x v="11"/>
    <d v="2022-01-05T00:00:00"/>
    <d v="2022-01-24T00:00:00"/>
    <x v="15"/>
    <n v="9"/>
    <n v="103"/>
    <n v="7.0559102035395256"/>
    <n v="5.1121348776600728"/>
    <n v="526.54989239898748"/>
    <n v="726.75875096457116"/>
    <n v="-200.20885856558368"/>
    <n v="-6.3889346179602509"/>
    <n v="-206.59779318354393"/>
    <n v="0"/>
    <n v="0"/>
    <n v="0"/>
    <n v="-206.597793183543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11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45">
        <item m="1" x="53"/>
        <item m="1" x="75"/>
        <item m="1" x="97"/>
        <item m="1" x="119"/>
        <item m="1" x="141"/>
        <item m="1" x="31"/>
        <item m="1" x="64"/>
        <item m="1" x="86"/>
        <item m="1" x="108"/>
        <item m="1" x="130"/>
        <item m="1" x="20"/>
        <item m="1" x="42"/>
        <item m="1" x="54"/>
        <item m="1" x="76"/>
        <item m="1" x="98"/>
        <item m="1" x="120"/>
        <item m="1" x="142"/>
        <item m="1" x="32"/>
        <item m="1" x="65"/>
        <item m="1" x="87"/>
        <item m="1" x="109"/>
        <item m="1" x="131"/>
        <item m="1" x="21"/>
        <item m="1" x="43"/>
        <item m="1" x="55"/>
        <item m="1" x="77"/>
        <item m="1" x="99"/>
        <item m="1" x="121"/>
        <item m="1" x="143"/>
        <item m="1" x="33"/>
        <item m="1" x="66"/>
        <item m="1" x="88"/>
        <item m="1" x="110"/>
        <item m="1" x="132"/>
        <item m="1" x="22"/>
        <item m="1" x="44"/>
        <item m="1" x="56"/>
        <item m="1" x="78"/>
        <item m="1" x="100"/>
        <item m="1" x="122"/>
        <item m="1" x="12"/>
        <item m="1" x="34"/>
        <item m="1" x="67"/>
        <item m="1" x="89"/>
        <item m="1" x="111"/>
        <item m="1" x="133"/>
        <item m="1" x="23"/>
        <item m="1" x="45"/>
        <item m="1" x="57"/>
        <item m="1" x="79"/>
        <item m="1" x="101"/>
        <item m="1" x="123"/>
        <item m="1" x="13"/>
        <item m="1" x="35"/>
        <item m="1" x="68"/>
        <item m="1" x="90"/>
        <item m="1" x="112"/>
        <item m="1" x="134"/>
        <item m="1" x="24"/>
        <item m="1" x="46"/>
        <item m="1" x="58"/>
        <item m="1" x="80"/>
        <item m="1" x="102"/>
        <item m="1" x="124"/>
        <item m="1" x="14"/>
        <item m="1" x="36"/>
        <item m="1" x="69"/>
        <item m="1" x="91"/>
        <item m="1" x="113"/>
        <item m="1" x="135"/>
        <item m="1" x="25"/>
        <item m="1" x="47"/>
        <item m="1" x="59"/>
        <item m="1" x="81"/>
        <item m="1" x="103"/>
        <item m="1" x="125"/>
        <item m="1" x="15"/>
        <item m="1" x="37"/>
        <item m="1" x="70"/>
        <item m="1" x="92"/>
        <item m="1" x="114"/>
        <item m="1" x="136"/>
        <item m="1" x="26"/>
        <item m="1" x="48"/>
        <item m="1" x="60"/>
        <item m="1" x="82"/>
        <item m="1" x="104"/>
        <item m="1" x="126"/>
        <item m="1" x="16"/>
        <item m="1" x="38"/>
        <item m="1" x="71"/>
        <item m="1" x="93"/>
        <item m="1" x="115"/>
        <item m="1" x="137"/>
        <item m="1" x="27"/>
        <item m="1" x="49"/>
        <item m="1" x="61"/>
        <item m="1" x="83"/>
        <item m="1" x="105"/>
        <item m="1" x="127"/>
        <item m="1" x="17"/>
        <item m="1" x="39"/>
        <item m="1" x="72"/>
        <item m="1" x="94"/>
        <item m="1" x="116"/>
        <item m="1" x="138"/>
        <item m="1" x="28"/>
        <item m="1" x="50"/>
        <item m="1" x="62"/>
        <item m="1" x="84"/>
        <item m="1" x="106"/>
        <item m="1" x="128"/>
        <item m="1" x="18"/>
        <item m="1" x="40"/>
        <item m="1" x="73"/>
        <item m="1" x="95"/>
        <item m="1" x="117"/>
        <item m="1" x="139"/>
        <item m="1" x="29"/>
        <item m="1" x="51"/>
        <item m="1" x="63"/>
        <item m="1" x="85"/>
        <item m="1" x="107"/>
        <item m="1" x="129"/>
        <item m="1" x="19"/>
        <item m="1" x="41"/>
        <item m="1" x="74"/>
        <item m="1" x="96"/>
        <item m="1" x="118"/>
        <item m="1" x="140"/>
        <item m="1" x="30"/>
        <item m="1"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D7" sqref="D7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62</v>
      </c>
    </row>
    <row r="3" spans="1:2" x14ac:dyDescent="0.2">
      <c r="A3" s="2">
        <v>1</v>
      </c>
      <c r="B3" s="3" t="s">
        <v>64</v>
      </c>
    </row>
    <row r="4" spans="1:2" x14ac:dyDescent="0.2">
      <c r="A4" s="2">
        <v>2</v>
      </c>
      <c r="B4" s="3" t="s">
        <v>63</v>
      </c>
    </row>
    <row r="5" spans="1:2" x14ac:dyDescent="0.2">
      <c r="A5" s="2">
        <v>3</v>
      </c>
      <c r="B5" s="3" t="s">
        <v>65</v>
      </c>
    </row>
    <row r="6" spans="1:2" x14ac:dyDescent="0.2">
      <c r="A6" s="2">
        <v>4</v>
      </c>
      <c r="B6" s="4" t="s">
        <v>79</v>
      </c>
    </row>
    <row r="7" spans="1:2" x14ac:dyDescent="0.2">
      <c r="A7" s="2">
        <v>5</v>
      </c>
      <c r="B7" s="3" t="s">
        <v>66</v>
      </c>
    </row>
    <row r="8" spans="1:2" x14ac:dyDescent="0.2">
      <c r="A8" s="2">
        <v>6</v>
      </c>
      <c r="B8" s="3" t="s">
        <v>67</v>
      </c>
    </row>
    <row r="9" spans="1:2" x14ac:dyDescent="0.2">
      <c r="A9" s="2">
        <v>7</v>
      </c>
      <c r="B9" s="5" t="s">
        <v>68</v>
      </c>
    </row>
    <row r="10" spans="1:2" x14ac:dyDescent="0.2">
      <c r="A10" s="2">
        <v>8</v>
      </c>
      <c r="B10" s="3" t="s">
        <v>71</v>
      </c>
    </row>
    <row r="11" spans="1:2" x14ac:dyDescent="0.2">
      <c r="A11" s="2"/>
      <c r="B11" s="3" t="s">
        <v>72</v>
      </c>
    </row>
    <row r="12" spans="1:2" x14ac:dyDescent="0.2">
      <c r="A12" s="2"/>
      <c r="B12" s="5" t="s">
        <v>73</v>
      </c>
    </row>
    <row r="13" spans="1:2" x14ac:dyDescent="0.2">
      <c r="A13" s="2"/>
      <c r="B13" s="5" t="s">
        <v>74</v>
      </c>
    </row>
    <row r="14" spans="1:2" x14ac:dyDescent="0.2">
      <c r="A14" s="2">
        <v>9</v>
      </c>
      <c r="B14" s="3" t="s">
        <v>75</v>
      </c>
    </row>
    <row r="15" spans="1:2" x14ac:dyDescent="0.2">
      <c r="A15" s="2">
        <v>10</v>
      </c>
      <c r="B15" s="3" t="s">
        <v>77</v>
      </c>
    </row>
    <row r="16" spans="1:2" x14ac:dyDescent="0.2">
      <c r="A16" s="2">
        <v>11</v>
      </c>
      <c r="B16" s="3" t="s">
        <v>78</v>
      </c>
    </row>
    <row r="17" spans="1:1" x14ac:dyDescent="0.2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5"/>
  <sheetViews>
    <sheetView tabSelected="1" zoomScale="85" zoomScaleNormal="85" zoomScaleSheetLayoutView="100" workbookViewId="0">
      <selection activeCell="B9" sqref="B9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0" t="str">
        <f>+Transactions!B1</f>
        <v>AEPTCo Formula Rate -- FERC Docket ER18-195</v>
      </c>
      <c r="D1" s="250"/>
      <c r="E1" s="250"/>
      <c r="F1" s="250"/>
      <c r="G1" s="250"/>
      <c r="H1" s="250"/>
      <c r="I1" s="250"/>
      <c r="L1" s="6">
        <v>2021</v>
      </c>
    </row>
    <row r="2" spans="2:19" x14ac:dyDescent="0.2">
      <c r="C2" s="250" t="s">
        <v>97</v>
      </c>
      <c r="D2" s="250"/>
      <c r="E2" s="250"/>
      <c r="F2" s="250"/>
      <c r="G2" s="250"/>
      <c r="H2" s="250"/>
      <c r="I2" s="250"/>
    </row>
    <row r="3" spans="2:19" x14ac:dyDescent="0.2">
      <c r="C3" s="250" t="str">
        <f>"for period 01/01/"&amp;F8&amp;" - 12/31/"&amp;F8</f>
        <v>for period 01/01/2021 - 12/31/2021</v>
      </c>
      <c r="D3" s="250"/>
      <c r="E3" s="250"/>
      <c r="F3" s="250"/>
      <c r="G3" s="250"/>
      <c r="H3" s="250"/>
      <c r="I3" s="250"/>
    </row>
    <row r="4" spans="2:19" x14ac:dyDescent="0.2">
      <c r="C4" s="250" t="s">
        <v>93</v>
      </c>
      <c r="D4" s="250"/>
      <c r="E4" s="250"/>
      <c r="F4" s="250"/>
      <c r="G4" s="250"/>
      <c r="H4" s="250"/>
      <c r="I4" s="250"/>
    </row>
    <row r="5" spans="2:19" x14ac:dyDescent="0.2">
      <c r="C5" s="7" t="str">
        <f>"Prepared:  May 24_, "&amp;L1+1&amp;""</f>
        <v>Prepared:  May 24_, 2022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f>Transactions!R1</f>
        <v>2021</v>
      </c>
    </row>
    <row r="9" spans="2:19" ht="20.25" customHeight="1" x14ac:dyDescent="0.2">
      <c r="E9" s="12" t="s">
        <v>92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2021 Projections 2021)</v>
      </c>
      <c r="F10" s="18" t="str">
        <f>"(per "&amp;F8&amp;" Update of May "&amp;F8+1&amp;")"</f>
        <v>(per 2021 Update of May 2022)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693285.51295897958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41</v>
      </c>
      <c r="E12" s="30"/>
      <c r="F12" s="31">
        <f>+Transactions!J2</f>
        <v>502579.09195763944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7.0559102035395256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40</v>
      </c>
      <c r="E14" s="44"/>
      <c r="F14" s="45">
        <f>+Transactions!J3</f>
        <v>5.1121348776600728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91</v>
      </c>
      <c r="I19" s="56" t="s">
        <v>90</v>
      </c>
      <c r="J19" s="57" t="s">
        <v>94</v>
      </c>
      <c r="K19" s="58" t="s">
        <v>95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49</v>
      </c>
      <c r="D20" s="60" t="str">
        <f>"Actual Charge
("&amp;F8&amp;" True-Up)"</f>
        <v>Actual Charge
(2021 True-Up)</v>
      </c>
      <c r="E20" s="61" t="str">
        <f>"Invoiced for
CY"&amp;F8&amp;" Transmission Service"</f>
        <v>Invoiced for
CY2021 Transmission Service</v>
      </c>
      <c r="F20" s="60" t="s">
        <v>101</v>
      </c>
      <c r="G20" s="62" t="s">
        <v>102</v>
      </c>
      <c r="H20" s="62" t="s">
        <v>99</v>
      </c>
      <c r="I20" s="60" t="s">
        <v>103</v>
      </c>
      <c r="J20" s="63" t="s">
        <v>100</v>
      </c>
      <c r="K20" s="64" t="s">
        <v>104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46351.726935743878</v>
      </c>
      <c r="E21" s="67">
        <f>GETPIVOTDATA("Sum of "&amp;T(Transactions!$K$19),Pivot!$A$3,"Customer",C21)</f>
        <v>63975.937815492871</v>
      </c>
      <c r="F21" s="67">
        <f>D21-E21</f>
        <v>-17624.210879748993</v>
      </c>
      <c r="G21" s="53">
        <f>+GETPIVOTDATA("Sum of "&amp;T(Transactions!$M$19),Pivot!$A$3,"Customer","AECC")</f>
        <v>-562.41233185481155</v>
      </c>
      <c r="H21" s="53">
        <f>GETPIVOTDATA("Sum of "&amp;T(Transactions!$Q$19),Pivot!$A$3,"Customer","AECC")</f>
        <v>0</v>
      </c>
      <c r="I21" s="68">
        <f>F21+G21-H21</f>
        <v>-18186.623211603805</v>
      </c>
      <c r="J21" s="69">
        <v>0</v>
      </c>
      <c r="K21" s="70">
        <f>I21+J21</f>
        <v>-18186.623211603805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82</v>
      </c>
      <c r="D22" s="67">
        <f>GETPIVOTDATA("Sum of "&amp;T(Transactions!$J$19),Pivot!$A$3,"Customer",C22)</f>
        <v>2428.2640668885342</v>
      </c>
      <c r="E22" s="67">
        <f>GETPIVOTDATA("Sum of "&amp;T(Transactions!$K$19),Pivot!$A$3,"Customer",C22)</f>
        <v>3351.5573466812743</v>
      </c>
      <c r="F22" s="67">
        <f>D22-E22</f>
        <v>-923.29327979274012</v>
      </c>
      <c r="G22" s="53">
        <f>+GETPIVOTDATA("Sum of "&amp;T(Transactions!$M$19),Pivot!$A$3,"Customer","AECI")</f>
        <v>-29.463533432340959</v>
      </c>
      <c r="H22" s="53">
        <f>GETPIVOTDATA("Sum of "&amp;T(Transactions!$Q$19),Pivot!$A$3,"Customer",C22)</f>
        <v>0</v>
      </c>
      <c r="I22" s="68">
        <f t="shared" ref="I22:I33" si="0">F22+G22-H22</f>
        <v>-952.75681322508103</v>
      </c>
      <c r="J22" s="69">
        <v>0</v>
      </c>
      <c r="K22" s="70">
        <f t="shared" ref="K22:K39" si="1">I22+J22</f>
        <v>-952.75681322508103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53</v>
      </c>
      <c r="D23" s="67">
        <f>GETPIVOTDATA("Sum of "&amp;T(Transactions!$J$19),Pivot!$A$3,"Customer",C23)</f>
        <v>7300.1286052985834</v>
      </c>
      <c r="E23" s="67">
        <f>GETPIVOTDATA("Sum of "&amp;T(Transactions!$K$19),Pivot!$A$3,"Customer",C23)</f>
        <v>10075.839770654442</v>
      </c>
      <c r="F23" s="67">
        <f t="shared" ref="F23:F35" si="2">D23-E23</f>
        <v>-2775.7111653558586</v>
      </c>
      <c r="G23" s="53">
        <f>+GETPIVOTDATA("Sum of "&amp;T(Transactions!$M$19),Pivot!$A$3,"Customer","Bentonville, AR")</f>
        <v>-88.576685771332393</v>
      </c>
      <c r="H23" s="53">
        <f>GETPIVOTDATA("Sum of "&amp;T(Transactions!$Q$19),Pivot!$A$3,"Customer",C23)</f>
        <v>0</v>
      </c>
      <c r="I23" s="68">
        <f t="shared" si="0"/>
        <v>-2864.2878511271911</v>
      </c>
      <c r="J23" s="69">
        <v>0</v>
      </c>
      <c r="K23" s="70">
        <f t="shared" si="1"/>
        <v>-2864.2878511271911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6446.4020807293518</v>
      </c>
      <c r="E24" s="67">
        <f>GETPIVOTDATA("Sum of "&amp;T(Transactions!$K$19),Pivot!$A$3,"Customer",C24)</f>
        <v>8897.5027666633432</v>
      </c>
      <c r="F24" s="67">
        <f t="shared" si="2"/>
        <v>-2451.1006859339914</v>
      </c>
      <c r="G24" s="53">
        <f>+GETPIVOTDATA("Sum of "&amp;T(Transactions!$M$19),Pivot!$A$3,"Customer","Coffeyville, KS")</f>
        <v>-78.217927701435684</v>
      </c>
      <c r="H24" s="53">
        <f>GETPIVOTDATA("Sum of "&amp;T(Transactions!$Q$19),Pivot!$A$3,"Customer",C24)</f>
        <v>0</v>
      </c>
      <c r="I24" s="68">
        <f t="shared" si="0"/>
        <v>-2529.318613635427</v>
      </c>
      <c r="J24" s="69">
        <v>0</v>
      </c>
      <c r="K24" s="70">
        <f t="shared" si="1"/>
        <v>-2529.318613635427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51223.591474153924</v>
      </c>
      <c r="E25" s="67">
        <f>GETPIVOTDATA("Sum of "&amp;T(Transactions!$K$19),Pivot!$A$3,"Customer",C25)</f>
        <v>70700.220239466042</v>
      </c>
      <c r="F25" s="67">
        <f t="shared" si="2"/>
        <v>-19476.628765312118</v>
      </c>
      <c r="G25" s="53">
        <f>+GETPIVOTDATA("Sum of "&amp;T(Transactions!$M$19),Pivot!$A$3,"Customer","ETEC")</f>
        <v>-621.52548419380298</v>
      </c>
      <c r="H25" s="53">
        <f>GETPIVOTDATA("Sum of "&amp;T(Transactions!$Q$19),Pivot!$A$3,"Customer",C25)</f>
        <v>0</v>
      </c>
      <c r="I25" s="68">
        <f t="shared" si="0"/>
        <v>-20098.154249505922</v>
      </c>
      <c r="J25" s="69">
        <v>0</v>
      </c>
      <c r="K25" s="70">
        <f t="shared" si="1"/>
        <v>-20098.154249505922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557.22270166494786</v>
      </c>
      <c r="E26" s="67">
        <f>GETPIVOTDATA("Sum of "&amp;T(Transactions!$K$19),Pivot!$A$3,"Customer",C26)</f>
        <v>769.09421218580815</v>
      </c>
      <c r="F26" s="67">
        <f t="shared" si="2"/>
        <v>-211.87151052086028</v>
      </c>
      <c r="G26" s="53">
        <f>+GETPIVOTDATA("Sum of "&amp;T(Transactions!$M$19),Pivot!$A$3,"Customer","Greenbelt")</f>
        <v>-6.7611055665792934</v>
      </c>
      <c r="H26" s="53">
        <f>GETPIVOTDATA("Sum of "&amp;T(Transactions!$Q$19),Pivot!$A$3,"Customer",C26)</f>
        <v>0</v>
      </c>
      <c r="I26" s="68">
        <f t="shared" si="0"/>
        <v>-218.63261608743957</v>
      </c>
      <c r="J26" s="69">
        <v>0</v>
      </c>
      <c r="K26" s="70">
        <f t="shared" si="1"/>
        <v>-218.63261608743957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56</v>
      </c>
      <c r="D27" s="67">
        <f>GETPIVOTDATA("Sum of "&amp;T(Transactions!$J$19),Pivot!$A$3,"Customer",C27)</f>
        <v>2418.0397971332145</v>
      </c>
      <c r="E27" s="67">
        <f>GETPIVOTDATA("Sum of "&amp;T(Transactions!$K$19),Pivot!$A$3,"Customer",C27)</f>
        <v>3337.4455262741958</v>
      </c>
      <c r="F27" s="67">
        <f t="shared" si="2"/>
        <v>-919.40572914098129</v>
      </c>
      <c r="G27" s="53">
        <f>+GETPIVOTDATA("Sum of "&amp;T(Transactions!$M$19),Pivot!$A$3,"Customer","Hope, AR")</f>
        <v>-29.339476449467945</v>
      </c>
      <c r="H27" s="53">
        <f>GETPIVOTDATA("Sum of "&amp;T(Transactions!$Q$19),Pivot!$A$3,"Customer",C27)</f>
        <v>0</v>
      </c>
      <c r="I27" s="68">
        <f t="shared" si="0"/>
        <v>-948.74520559044925</v>
      </c>
      <c r="J27" s="69">
        <v>0</v>
      </c>
      <c r="K27" s="70">
        <f t="shared" si="1"/>
        <v>-948.74520559044925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235.1582043723634</v>
      </c>
      <c r="E28" s="67">
        <f>GETPIVOTDATA("Sum of "&amp;T(Transactions!$K$19),Pivot!$A$3,"Customer",C28)</f>
        <v>324.57186936281812</v>
      </c>
      <c r="F28" s="67">
        <f t="shared" si="2"/>
        <v>-89.41366499045472</v>
      </c>
      <c r="G28" s="53">
        <f>+GETPIVOTDATA("Sum of "&amp;T(Transactions!$M$19),Pivot!$A$3,"Customer","Lighthouse")</f>
        <v>-2.8533106060793343</v>
      </c>
      <c r="H28" s="53">
        <f>GETPIVOTDATA("Sum of "&amp;T(Transactions!$Q$19),Pivot!$A$3,"Customer",C28)</f>
        <v>0</v>
      </c>
      <c r="I28" s="68">
        <f t="shared" si="0"/>
        <v>-92.266975596534053</v>
      </c>
      <c r="J28" s="69">
        <v>0</v>
      </c>
      <c r="K28" s="70">
        <f t="shared" si="1"/>
        <v>-92.266975596534053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55</v>
      </c>
      <c r="D29" s="67">
        <f>GETPIVOTDATA("Sum of "&amp;T(Transactions!$J$19),Pivot!$A$3,"Customer",C29)</f>
        <v>1569.4254074416422</v>
      </c>
      <c r="E29" s="67">
        <f>GETPIVOTDATA("Sum of "&amp;T(Transactions!$K$19),Pivot!$A$3,"Customer",C29)</f>
        <v>2166.1644324866343</v>
      </c>
      <c r="F29" s="67">
        <f t="shared" si="2"/>
        <v>-596.7390250449921</v>
      </c>
      <c r="G29" s="53">
        <f>+GETPIVOTDATA("Sum of "&amp;T(Transactions!$M$19),Pivot!$A$3,"Customer","Minden, LA")</f>
        <v>-19.042746871007736</v>
      </c>
      <c r="H29" s="53">
        <f>GETPIVOTDATA("Sum of "&amp;T(Transactions!$Q$19),Pivot!$A$3,"Customer",C29)</f>
        <v>0</v>
      </c>
      <c r="I29" s="68">
        <f t="shared" si="0"/>
        <v>-615.7817719159998</v>
      </c>
      <c r="J29" s="69">
        <v>0</v>
      </c>
      <c r="K29" s="70">
        <f t="shared" si="1"/>
        <v>-615.7817719159998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2709.4314851598388</v>
      </c>
      <c r="E30" s="67">
        <f>GETPIVOTDATA("Sum of "&amp;T(Transactions!$K$19),Pivot!$A$3,"Customer",C30)</f>
        <v>3739.632407875949</v>
      </c>
      <c r="F30" s="67">
        <f t="shared" si="2"/>
        <v>-1030.2009227161102</v>
      </c>
      <c r="G30" s="53">
        <f>+GETPIVOTDATA("Sum of "&amp;T(Transactions!$M$19),Pivot!$A$3,"Customer","OG&amp;E")</f>
        <v>-32.875100461348865</v>
      </c>
      <c r="H30" s="53">
        <f>GETPIVOTDATA("Sum of "&amp;T(Transactions!$Q$19),Pivot!$A$3,"Customer",C30)</f>
        <v>0</v>
      </c>
      <c r="I30" s="68">
        <f t="shared" si="0"/>
        <v>-1063.0760231774591</v>
      </c>
      <c r="J30" s="69">
        <v>0</v>
      </c>
      <c r="K30" s="70">
        <f t="shared" si="1"/>
        <v>-1063.0760231774591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6369.7200575644501</v>
      </c>
      <c r="E31" s="67">
        <f>GETPIVOTDATA("Sum of "&amp;T(Transactions!$K$19),Pivot!$A$3,"Customer",C31)</f>
        <v>8791.664113610248</v>
      </c>
      <c r="F31" s="67">
        <f t="shared" si="2"/>
        <v>-2421.9440560457979</v>
      </c>
      <c r="G31" s="53">
        <f>+GETPIVOTDATA("Sum of "&amp;T(Transactions!$M$19),Pivot!$A$3,"Customer","OMPA")</f>
        <v>-77.287500329888076</v>
      </c>
      <c r="H31" s="53">
        <f>GETPIVOTDATA("Sum of "&amp;T(Transactions!$Q$19),Pivot!$A$3,"Customer",C31)</f>
        <v>0</v>
      </c>
      <c r="I31" s="68">
        <f t="shared" si="0"/>
        <v>-2499.2315563756861</v>
      </c>
      <c r="J31" s="69">
        <v>0</v>
      </c>
      <c r="K31" s="70">
        <f t="shared" si="1"/>
        <v>-2499.2315563756861</v>
      </c>
      <c r="L31" s="65"/>
    </row>
    <row r="32" spans="2:19" x14ac:dyDescent="0.2">
      <c r="B32" s="65"/>
      <c r="C32" s="66" t="s">
        <v>54</v>
      </c>
      <c r="D32" s="67">
        <f>GETPIVOTDATA("Sum of "&amp;T(Transactions!$J$19),Pivot!$A$3,"Customer",C32)</f>
        <v>649.24112946282924</v>
      </c>
      <c r="E32" s="67">
        <f>GETPIVOTDATA("Sum of "&amp;T(Transactions!$K$19),Pivot!$A$3,"Customer",C32)</f>
        <v>896.10059584951966</v>
      </c>
      <c r="F32" s="67">
        <f t="shared" si="2"/>
        <v>-246.85946638669043</v>
      </c>
      <c r="G32" s="53">
        <f>+GETPIVOTDATA("Sum of "&amp;T(Transactions!$M$19),Pivot!$A$3,"Customer","Prescott, AR")</f>
        <v>-7.8776184124364255</v>
      </c>
      <c r="H32" s="53">
        <f>GETPIVOTDATA("Sum of "&amp;T(Transactions!$Q$19),Pivot!$A$3,"Customer",C32)</f>
        <v>0</v>
      </c>
      <c r="I32" s="68">
        <f t="shared" si="0"/>
        <v>-254.73708479912685</v>
      </c>
      <c r="J32" s="69">
        <v>0</v>
      </c>
      <c r="K32" s="70">
        <f t="shared" si="1"/>
        <v>-254.73708479912685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2525.3946295640758</v>
      </c>
      <c r="E33" s="67">
        <f>GETPIVOTDATA("Sum of "&amp;T(Transactions!$K$19),Pivot!$A$3,"Customer",C33)</f>
        <v>3485.6196405485252</v>
      </c>
      <c r="F33" s="67">
        <f t="shared" si="2"/>
        <v>-960.22501098444945</v>
      </c>
      <c r="G33" s="53">
        <f>+GETPIVOTDATA("Sum of "&amp;T(Transactions!$M$19),Pivot!$A$3,"Customer","WFEC")</f>
        <v>-30.642074769634597</v>
      </c>
      <c r="H33" s="53">
        <f>GETPIVOTDATA("Sum of "&amp;T(Transactions!$Q$19),Pivot!$A$3,"Customer",C33)</f>
        <v>0</v>
      </c>
      <c r="I33" s="68">
        <f t="shared" si="0"/>
        <v>-990.86708575408409</v>
      </c>
      <c r="J33" s="69">
        <v>0</v>
      </c>
      <c r="K33" s="70">
        <f t="shared" si="1"/>
        <v>-990.86708575408409</v>
      </c>
      <c r="L33" s="65"/>
    </row>
    <row r="34" spans="2:13" ht="24" x14ac:dyDescent="0.2">
      <c r="C34" s="74" t="s">
        <v>42</v>
      </c>
      <c r="D34" s="75">
        <f t="shared" ref="D34:J34" si="3">SUM(D21:D33)</f>
        <v>130783.7465751776</v>
      </c>
      <c r="E34" s="75">
        <f t="shared" si="3"/>
        <v>180511.35073715163</v>
      </c>
      <c r="F34" s="75">
        <f t="shared" si="3"/>
        <v>-49727.604161974028</v>
      </c>
      <c r="G34" s="76">
        <f t="shared" si="3"/>
        <v>-1586.8748964201659</v>
      </c>
      <c r="H34" s="76">
        <f t="shared" si="3"/>
        <v>0</v>
      </c>
      <c r="I34" s="77">
        <f t="shared" si="3"/>
        <v>-51314.479058394209</v>
      </c>
      <c r="J34" s="78">
        <f t="shared" si="3"/>
        <v>0</v>
      </c>
      <c r="K34" s="79">
        <f t="shared" si="1"/>
        <v>-51314.479058394209</v>
      </c>
    </row>
    <row r="35" spans="2:13" x14ac:dyDescent="0.2">
      <c r="C35" s="80" t="s">
        <v>21</v>
      </c>
      <c r="D35" s="67">
        <f>GETPIVOTDATA("Sum of "&amp;T(Transactions!$J$19),Pivot!$A$3,"Customer",C35)</f>
        <v>185994.80325390646</v>
      </c>
      <c r="E35" s="67">
        <f>GETPIVOTDATA("Sum of "&amp;T(Transactions!$K$19),Pivot!$A$3,"Customer",C35)</f>
        <v>256715.18093537856</v>
      </c>
      <c r="F35" s="67">
        <f t="shared" si="2"/>
        <v>-70720.377681472106</v>
      </c>
      <c r="G35" s="53">
        <f>+GETPIVOTDATA("Sum of "&amp;T(Transactions!$M$19),Pivot!$A$3,"Customer","PSO")</f>
        <v>-2256.782603934445</v>
      </c>
      <c r="H35" s="53">
        <f>GETPIVOTDATA("Sum of "&amp;T(Transactions!$Q$19),Pivot!$A$3,"Customer",C35)</f>
        <v>0</v>
      </c>
      <c r="I35" s="68">
        <f>F35+G35-H35</f>
        <v>-72977.160285406557</v>
      </c>
      <c r="J35" s="69">
        <v>0</v>
      </c>
      <c r="K35" s="70">
        <f t="shared" si="1"/>
        <v>-72977.160285406557</v>
      </c>
    </row>
    <row r="36" spans="2:13" x14ac:dyDescent="0.2">
      <c r="C36" s="81" t="s">
        <v>22</v>
      </c>
      <c r="D36" s="67">
        <f>GETPIVOTDATA("Sum of "&amp;T(Transactions!$J$19),Pivot!$A$3,"Customer",C36)</f>
        <v>177917.63014720354</v>
      </c>
      <c r="E36" s="67">
        <f>GETPIVOTDATA("Sum of "&amp;T(Transactions!$K$19),Pivot!$A$3,"Customer",C36)</f>
        <v>245566.84281378612</v>
      </c>
      <c r="F36" s="67">
        <f>D36-E36</f>
        <v>-67649.212666582578</v>
      </c>
      <c r="G36" s="53">
        <f>+GETPIVOTDATA("Sum of "&amp;T(Transactions!$M$19),Pivot!$A$3,"Customer","SWEPCO")</f>
        <v>-2158.7775874647627</v>
      </c>
      <c r="H36" s="53">
        <f>GETPIVOTDATA("Sum of "&amp;T(Transactions!$Q$19),Pivot!$A$3,"Customer",C36)</f>
        <v>0</v>
      </c>
      <c r="I36" s="68">
        <f>F36+G36-H36</f>
        <v>-69807.990254047341</v>
      </c>
      <c r="J36" s="69">
        <v>0</v>
      </c>
      <c r="K36" s="70">
        <f t="shared" si="1"/>
        <v>-69807.990254047341</v>
      </c>
    </row>
    <row r="37" spans="2:13" x14ac:dyDescent="0.2">
      <c r="C37" s="82" t="s">
        <v>80</v>
      </c>
      <c r="D37" s="67">
        <f>GETPIVOTDATA("Sum of "&amp;T(Transactions!$J$19),Pivot!$A$3,"Customer",C37)</f>
        <v>7882.9119813518319</v>
      </c>
      <c r="E37" s="67">
        <f>GETPIVOTDATA("Sum of "&amp;T(Transactions!$K$19),Pivot!$A$3,"Customer",C37)</f>
        <v>10880.213533857948</v>
      </c>
      <c r="F37" s="67">
        <f>D37-E37</f>
        <v>-2997.3015525061164</v>
      </c>
      <c r="G37" s="53">
        <f>+GETPIVOTDATA("Sum of "&amp;T(Transactions!$M$19),Pivot!$A$3,"Customer","SWEPCO-Valley")</f>
        <v>-95.647933795094218</v>
      </c>
      <c r="H37" s="53">
        <f>GETPIVOTDATA("Sum of "&amp;T(Transactions!$Q$19),Pivot!$A$3,"Customer",C37)</f>
        <v>0</v>
      </c>
      <c r="I37" s="68">
        <f>F37+G37-H37</f>
        <v>-3092.9494863012105</v>
      </c>
      <c r="J37" s="69">
        <v>0</v>
      </c>
      <c r="K37" s="70">
        <f t="shared" si="1"/>
        <v>-3092.9494863012105</v>
      </c>
    </row>
    <row r="38" spans="2:13" ht="24" x14ac:dyDescent="0.2">
      <c r="C38" s="83" t="s">
        <v>50</v>
      </c>
      <c r="D38" s="84">
        <f t="shared" ref="D38:I38" si="4">SUM(D35:D37)</f>
        <v>371795.34538246185</v>
      </c>
      <c r="E38" s="84">
        <f t="shared" si="4"/>
        <v>513162.23728302261</v>
      </c>
      <c r="F38" s="84">
        <f t="shared" si="4"/>
        <v>-141366.89190056079</v>
      </c>
      <c r="G38" s="85">
        <f t="shared" si="4"/>
        <v>-4511.2081251943018</v>
      </c>
      <c r="H38" s="85">
        <f t="shared" si="4"/>
        <v>0</v>
      </c>
      <c r="I38" s="86">
        <f t="shared" si="4"/>
        <v>-145878.10002575512</v>
      </c>
      <c r="J38" s="87">
        <f>SUM(J35:J37)</f>
        <v>0</v>
      </c>
      <c r="K38" s="88">
        <f t="shared" si="1"/>
        <v>-145878.10002575512</v>
      </c>
      <c r="M38" s="89"/>
    </row>
    <row r="39" spans="2:13" ht="23.25" customHeight="1" thickBot="1" x14ac:dyDescent="0.25">
      <c r="C39" s="90" t="s">
        <v>43</v>
      </c>
      <c r="D39" s="91">
        <f t="shared" ref="D39:I39" si="5">SUM(D34,D38)</f>
        <v>502579.09195763944</v>
      </c>
      <c r="E39" s="92">
        <f t="shared" si="5"/>
        <v>693673.5880201743</v>
      </c>
      <c r="F39" s="91">
        <f t="shared" si="5"/>
        <v>-191094.4960625348</v>
      </c>
      <c r="G39" s="92">
        <f t="shared" si="5"/>
        <v>-6098.0830216144677</v>
      </c>
      <c r="H39" s="92">
        <f t="shared" si="5"/>
        <v>0</v>
      </c>
      <c r="I39" s="93">
        <f t="shared" si="5"/>
        <v>-197192.57908414933</v>
      </c>
      <c r="J39" s="94">
        <f>SUM(J34,J38)</f>
        <v>0</v>
      </c>
      <c r="K39" s="95">
        <f t="shared" si="1"/>
        <v>-197192.57908414933</v>
      </c>
      <c r="M39" s="89"/>
    </row>
    <row r="40" spans="2:13" x14ac:dyDescent="0.2">
      <c r="E40" s="52"/>
      <c r="F40" s="52"/>
      <c r="G40" s="52"/>
      <c r="H40" s="52"/>
    </row>
    <row r="41" spans="2:13" x14ac:dyDescent="0.2">
      <c r="K41" s="96"/>
    </row>
    <row r="42" spans="2:13" x14ac:dyDescent="0.2">
      <c r="K42" s="96"/>
    </row>
    <row r="43" spans="2:13" x14ac:dyDescent="0.2">
      <c r="K43" s="96"/>
    </row>
    <row r="45" spans="2:13" x14ac:dyDescent="0.2">
      <c r="K45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D65" sqref="D65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97"/>
      <c r="B3" s="98"/>
      <c r="C3" s="99" t="s">
        <v>52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44197</v>
      </c>
      <c r="D4" s="102">
        <v>44228</v>
      </c>
      <c r="E4" s="102">
        <v>44256</v>
      </c>
      <c r="F4" s="102">
        <v>44287</v>
      </c>
      <c r="G4" s="102">
        <v>44317</v>
      </c>
      <c r="H4" s="102">
        <v>44348</v>
      </c>
      <c r="I4" s="102">
        <v>44378</v>
      </c>
      <c r="J4" s="102">
        <v>44409</v>
      </c>
      <c r="K4" s="102">
        <v>44440</v>
      </c>
      <c r="L4" s="102">
        <v>44470</v>
      </c>
      <c r="M4" s="102">
        <v>44501</v>
      </c>
      <c r="N4" s="102">
        <v>44531</v>
      </c>
      <c r="O4" s="103" t="s">
        <v>18</v>
      </c>
    </row>
    <row r="5" spans="1:15" x14ac:dyDescent="0.2">
      <c r="A5" s="97" t="s">
        <v>14</v>
      </c>
      <c r="B5" s="97" t="s">
        <v>69</v>
      </c>
      <c r="C5" s="104">
        <v>3921.0074511652761</v>
      </c>
      <c r="D5" s="105">
        <v>5429.0872400749977</v>
      </c>
      <c r="E5" s="105">
        <v>3062.1687917183835</v>
      </c>
      <c r="F5" s="105">
        <v>2285.1242903140524</v>
      </c>
      <c r="G5" s="105">
        <v>3082.6173312290239</v>
      </c>
      <c r="H5" s="105">
        <v>4294.1932972344612</v>
      </c>
      <c r="I5" s="105">
        <v>4733.8368967132274</v>
      </c>
      <c r="J5" s="105">
        <v>4820.7431896334483</v>
      </c>
      <c r="K5" s="105">
        <v>4667.3791433036467</v>
      </c>
      <c r="L5" s="105">
        <v>3481.3638516865094</v>
      </c>
      <c r="M5" s="105">
        <v>3333.1119402343675</v>
      </c>
      <c r="N5" s="105">
        <v>3241.093512436486</v>
      </c>
      <c r="O5" s="106">
        <v>46351.726935743878</v>
      </c>
    </row>
    <row r="6" spans="1:15" x14ac:dyDescent="0.2">
      <c r="A6" s="234"/>
      <c r="B6" s="107" t="s">
        <v>25</v>
      </c>
      <c r="C6" s="244">
        <v>-1490.8756749495401</v>
      </c>
      <c r="D6" s="245">
        <v>-2064.2893960839783</v>
      </c>
      <c r="E6" s="245">
        <v>-1164.3214202017925</v>
      </c>
      <c r="F6" s="245">
        <v>-868.8675706681156</v>
      </c>
      <c r="G6" s="245">
        <v>-1172.0965215053102</v>
      </c>
      <c r="H6" s="245">
        <v>-1632.7712737387401</v>
      </c>
      <c r="I6" s="245">
        <v>-1799.9359517643734</v>
      </c>
      <c r="J6" s="245">
        <v>-1832.9801323043239</v>
      </c>
      <c r="K6" s="245">
        <v>-1774.6668725279405</v>
      </c>
      <c r="L6" s="245">
        <v>-1323.7109969239073</v>
      </c>
      <c r="M6" s="245">
        <v>-1267.3415124734029</v>
      </c>
      <c r="N6" s="245">
        <v>-1232.3535566075734</v>
      </c>
      <c r="O6" s="246">
        <v>-17624.210879748996</v>
      </c>
    </row>
    <row r="7" spans="1:15" x14ac:dyDescent="0.2">
      <c r="A7" s="234"/>
      <c r="B7" s="107" t="s">
        <v>26</v>
      </c>
      <c r="C7" s="244">
        <v>-47.575852931801087</v>
      </c>
      <c r="D7" s="245">
        <v>-65.874257905570744</v>
      </c>
      <c r="E7" s="245">
        <v>-37.155066370467864</v>
      </c>
      <c r="F7" s="245">
        <v>-27.726735672118753</v>
      </c>
      <c r="G7" s="245">
        <v>-37.403180336213893</v>
      </c>
      <c r="H7" s="245">
        <v>-52.103932806666123</v>
      </c>
      <c r="I7" s="245">
        <v>-57.438383070205738</v>
      </c>
      <c r="J7" s="245">
        <v>-58.492867424626375</v>
      </c>
      <c r="K7" s="245">
        <v>-56.632012681531151</v>
      </c>
      <c r="L7" s="245">
        <v>-42.241402668261465</v>
      </c>
      <c r="M7" s="245">
        <v>-40.442576416602748</v>
      </c>
      <c r="N7" s="245">
        <v>-39.326063570745617</v>
      </c>
      <c r="O7" s="246">
        <v>-562.41233185481155</v>
      </c>
    </row>
    <row r="8" spans="1:15" x14ac:dyDescent="0.2">
      <c r="A8" s="234"/>
      <c r="B8" s="107" t="s">
        <v>27</v>
      </c>
      <c r="C8" s="244">
        <v>-1538.4515278813412</v>
      </c>
      <c r="D8" s="245">
        <v>-2130.1636539895489</v>
      </c>
      <c r="E8" s="245">
        <v>-1201.4764865722605</v>
      </c>
      <c r="F8" s="245">
        <v>-896.59430634023431</v>
      </c>
      <c r="G8" s="245">
        <v>-1209.499701841524</v>
      </c>
      <c r="H8" s="245">
        <v>-1684.8752065454062</v>
      </c>
      <c r="I8" s="245">
        <v>-1857.374334834579</v>
      </c>
      <c r="J8" s="245">
        <v>-1891.4729997289503</v>
      </c>
      <c r="K8" s="245">
        <v>-1831.2988852094718</v>
      </c>
      <c r="L8" s="245">
        <v>-1365.9523995921688</v>
      </c>
      <c r="M8" s="245">
        <v>-1307.7840888900057</v>
      </c>
      <c r="N8" s="245">
        <v>-1271.6796201783191</v>
      </c>
      <c r="O8" s="246">
        <v>-18186.623211603808</v>
      </c>
    </row>
    <row r="9" spans="1:15" x14ac:dyDescent="0.2">
      <c r="A9" s="234"/>
      <c r="B9" s="107" t="s">
        <v>48</v>
      </c>
      <c r="C9" s="108">
        <v>5411.8831261148162</v>
      </c>
      <c r="D9" s="96">
        <v>7493.376636158976</v>
      </c>
      <c r="E9" s="96">
        <v>4226.4902119201761</v>
      </c>
      <c r="F9" s="96">
        <v>3153.991860982168</v>
      </c>
      <c r="G9" s="96">
        <v>4254.7138527343341</v>
      </c>
      <c r="H9" s="96">
        <v>5926.9645709732013</v>
      </c>
      <c r="I9" s="96">
        <v>6533.7728484776007</v>
      </c>
      <c r="J9" s="96">
        <v>6653.7233219377722</v>
      </c>
      <c r="K9" s="96">
        <v>6442.0460158315873</v>
      </c>
      <c r="L9" s="96">
        <v>4805.0748486104167</v>
      </c>
      <c r="M9" s="96">
        <v>4600.4534527077703</v>
      </c>
      <c r="N9" s="96">
        <v>4473.4470690440594</v>
      </c>
      <c r="O9" s="109">
        <v>63975.937815492871</v>
      </c>
    </row>
    <row r="10" spans="1:15" x14ac:dyDescent="0.2">
      <c r="A10" s="234"/>
      <c r="B10" s="107" t="s">
        <v>86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34"/>
      <c r="B11" s="107" t="s">
        <v>88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69</v>
      </c>
      <c r="C12" s="104">
        <v>480.54067850004685</v>
      </c>
      <c r="D12" s="105">
        <v>511.21348776600729</v>
      </c>
      <c r="E12" s="105">
        <v>516.32562264366732</v>
      </c>
      <c r="F12" s="105">
        <v>500.98921801068713</v>
      </c>
      <c r="G12" s="105">
        <v>506.10135288834721</v>
      </c>
      <c r="H12" s="105">
        <v>577.67124117558819</v>
      </c>
      <c r="I12" s="105">
        <v>593.00764580856844</v>
      </c>
      <c r="J12" s="105">
        <v>593.00764580856844</v>
      </c>
      <c r="K12" s="105">
        <v>593.00764580856844</v>
      </c>
      <c r="L12" s="105">
        <v>536.77416215430765</v>
      </c>
      <c r="M12" s="105">
        <v>511.21348776600729</v>
      </c>
      <c r="N12" s="105">
        <v>526.54989239898748</v>
      </c>
      <c r="O12" s="106">
        <v>6446.4020807293518</v>
      </c>
    </row>
    <row r="13" spans="1:15" x14ac:dyDescent="0.2">
      <c r="A13" s="234"/>
      <c r="B13" s="107" t="s">
        <v>25</v>
      </c>
      <c r="C13" s="244">
        <v>-182.71488063266861</v>
      </c>
      <c r="D13" s="245">
        <v>-194.37753258794527</v>
      </c>
      <c r="E13" s="245">
        <v>-196.32130791382474</v>
      </c>
      <c r="F13" s="245">
        <v>-190.48998193618633</v>
      </c>
      <c r="G13" s="245">
        <v>-192.43375726206585</v>
      </c>
      <c r="H13" s="245">
        <v>-219.64661182437817</v>
      </c>
      <c r="I13" s="245">
        <v>-225.47793780201653</v>
      </c>
      <c r="J13" s="245">
        <v>-225.47793780201653</v>
      </c>
      <c r="K13" s="245">
        <v>-225.47793780201653</v>
      </c>
      <c r="L13" s="245">
        <v>-204.09640921734251</v>
      </c>
      <c r="M13" s="245">
        <v>-194.37753258794527</v>
      </c>
      <c r="N13" s="245">
        <v>-200.20885856558368</v>
      </c>
      <c r="O13" s="246">
        <v>-2451.1006859339905</v>
      </c>
    </row>
    <row r="14" spans="1:15" x14ac:dyDescent="0.2">
      <c r="A14" s="234"/>
      <c r="B14" s="107" t="s">
        <v>26</v>
      </c>
      <c r="C14" s="244">
        <v>-5.8306781950316848</v>
      </c>
      <c r="D14" s="245">
        <v>-6.2028491436507291</v>
      </c>
      <c r="E14" s="245">
        <v>-6.2648776350872364</v>
      </c>
      <c r="F14" s="245">
        <v>-6.0787921607777147</v>
      </c>
      <c r="G14" s="245">
        <v>-6.1408206522142219</v>
      </c>
      <c r="H14" s="245">
        <v>-7.0092195323253232</v>
      </c>
      <c r="I14" s="245">
        <v>-7.195305006634845</v>
      </c>
      <c r="J14" s="245">
        <v>-7.195305006634845</v>
      </c>
      <c r="K14" s="245">
        <v>-7.195305006634845</v>
      </c>
      <c r="L14" s="245">
        <v>-6.5129916008332653</v>
      </c>
      <c r="M14" s="245">
        <v>-6.2028491436507291</v>
      </c>
      <c r="N14" s="245">
        <v>-6.3889346179602509</v>
      </c>
      <c r="O14" s="246">
        <v>-78.217927701435684</v>
      </c>
    </row>
    <row r="15" spans="1:15" x14ac:dyDescent="0.2">
      <c r="A15" s="234"/>
      <c r="B15" s="107" t="s">
        <v>27</v>
      </c>
      <c r="C15" s="244">
        <v>-188.54555882770029</v>
      </c>
      <c r="D15" s="245">
        <v>-200.58038173159599</v>
      </c>
      <c r="E15" s="245">
        <v>-202.58618554891197</v>
      </c>
      <c r="F15" s="245">
        <v>-196.56877409696403</v>
      </c>
      <c r="G15" s="245">
        <v>-198.57457791428007</v>
      </c>
      <c r="H15" s="245">
        <v>-226.65583135670349</v>
      </c>
      <c r="I15" s="245">
        <v>-232.67324280865137</v>
      </c>
      <c r="J15" s="245">
        <v>-232.67324280865137</v>
      </c>
      <c r="K15" s="245">
        <v>-232.67324280865137</v>
      </c>
      <c r="L15" s="245">
        <v>-210.60940081817577</v>
      </c>
      <c r="M15" s="245">
        <v>-200.58038173159599</v>
      </c>
      <c r="N15" s="245">
        <v>-206.59779318354393</v>
      </c>
      <c r="O15" s="246">
        <v>-2529.3186136354257</v>
      </c>
    </row>
    <row r="16" spans="1:15" x14ac:dyDescent="0.2">
      <c r="A16" s="234"/>
      <c r="B16" s="107" t="s">
        <v>48</v>
      </c>
      <c r="C16" s="108">
        <v>663.25555913271546</v>
      </c>
      <c r="D16" s="96">
        <v>705.59102035395256</v>
      </c>
      <c r="E16" s="96">
        <v>712.64693055749206</v>
      </c>
      <c r="F16" s="96">
        <v>691.47919994687345</v>
      </c>
      <c r="G16" s="96">
        <v>698.53511015041306</v>
      </c>
      <c r="H16" s="96">
        <v>797.31785299996636</v>
      </c>
      <c r="I16" s="96">
        <v>818.48558361058497</v>
      </c>
      <c r="J16" s="96">
        <v>818.48558361058497</v>
      </c>
      <c r="K16" s="96">
        <v>818.48558361058497</v>
      </c>
      <c r="L16" s="96">
        <v>740.87057137165016</v>
      </c>
      <c r="M16" s="96">
        <v>705.59102035395256</v>
      </c>
      <c r="N16" s="96">
        <v>726.75875096457116</v>
      </c>
      <c r="O16" s="109">
        <v>8897.5027666633432</v>
      </c>
    </row>
    <row r="17" spans="1:15" x14ac:dyDescent="0.2">
      <c r="A17" s="234"/>
      <c r="B17" s="107" t="s">
        <v>86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34"/>
      <c r="B18" s="107" t="s">
        <v>88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69</v>
      </c>
      <c r="C19" s="104">
        <v>4974.1072359632508</v>
      </c>
      <c r="D19" s="105">
        <v>6840.0364663091777</v>
      </c>
      <c r="E19" s="105">
        <v>4038.5865533514575</v>
      </c>
      <c r="F19" s="105">
        <v>2888.3562058779412</v>
      </c>
      <c r="G19" s="105">
        <v>3251.3177821918061</v>
      </c>
      <c r="H19" s="105">
        <v>4319.7539716227611</v>
      </c>
      <c r="I19" s="105">
        <v>4585.5849852610854</v>
      </c>
      <c r="J19" s="105">
        <v>4595.8092550164056</v>
      </c>
      <c r="K19" s="105">
        <v>4621.3699294047055</v>
      </c>
      <c r="L19" s="105">
        <v>3501.8123911971497</v>
      </c>
      <c r="M19" s="105">
        <v>3670.5128421599325</v>
      </c>
      <c r="N19" s="105">
        <v>3936.3438557982558</v>
      </c>
      <c r="O19" s="106">
        <v>51223.591474153924</v>
      </c>
    </row>
    <row r="20" spans="1:15" x14ac:dyDescent="0.2">
      <c r="A20" s="234"/>
      <c r="B20" s="107" t="s">
        <v>25</v>
      </c>
      <c r="C20" s="244">
        <v>-1891.2933920807072</v>
      </c>
      <c r="D20" s="245">
        <v>-2600.7713860267077</v>
      </c>
      <c r="E20" s="245">
        <v>-1535.582507444768</v>
      </c>
      <c r="F20" s="245">
        <v>-1098.2330591218906</v>
      </c>
      <c r="G20" s="245">
        <v>-1236.2411072593322</v>
      </c>
      <c r="H20" s="245">
        <v>-1642.4901503681376</v>
      </c>
      <c r="I20" s="245">
        <v>-1743.566467313869</v>
      </c>
      <c r="J20" s="245">
        <v>-1747.4540179656278</v>
      </c>
      <c r="K20" s="245">
        <v>-1757.1728945950254</v>
      </c>
      <c r="L20" s="245">
        <v>-1331.4860982274249</v>
      </c>
      <c r="M20" s="245">
        <v>-1395.6306839814465</v>
      </c>
      <c r="N20" s="245">
        <v>-1496.7070009271788</v>
      </c>
      <c r="O20" s="246">
        <v>-19476.628765312114</v>
      </c>
    </row>
    <row r="21" spans="1:15" x14ac:dyDescent="0.2">
      <c r="A21" s="234"/>
      <c r="B21" s="107" t="s">
        <v>26</v>
      </c>
      <c r="C21" s="244">
        <v>-60.353722167721585</v>
      </c>
      <c r="D21" s="245">
        <v>-82.994121542046756</v>
      </c>
      <c r="E21" s="245">
        <v>-49.002508234840754</v>
      </c>
      <c r="F21" s="245">
        <v>-35.046097661626618</v>
      </c>
      <c r="G21" s="245">
        <v>-39.450120553618632</v>
      </c>
      <c r="H21" s="245">
        <v>-52.414075263848659</v>
      </c>
      <c r="I21" s="245">
        <v>-55.639556818547035</v>
      </c>
      <c r="J21" s="245">
        <v>-55.76361380142005</v>
      </c>
      <c r="K21" s="245">
        <v>-56.073756258602586</v>
      </c>
      <c r="L21" s="245">
        <v>-42.489516634007494</v>
      </c>
      <c r="M21" s="245">
        <v>-44.536456851412233</v>
      </c>
      <c r="N21" s="245">
        <v>-47.761938406110609</v>
      </c>
      <c r="O21" s="246">
        <v>-621.52548419380298</v>
      </c>
    </row>
    <row r="22" spans="1:15" x14ac:dyDescent="0.2">
      <c r="A22" s="234"/>
      <c r="B22" s="107" t="s">
        <v>27</v>
      </c>
      <c r="C22" s="244">
        <v>-1951.6471142484288</v>
      </c>
      <c r="D22" s="245">
        <v>-2683.7655075687544</v>
      </c>
      <c r="E22" s="245">
        <v>-1584.5850156796087</v>
      </c>
      <c r="F22" s="245">
        <v>-1133.2791567835172</v>
      </c>
      <c r="G22" s="245">
        <v>-1275.691227812951</v>
      </c>
      <c r="H22" s="245">
        <v>-1694.9042256319863</v>
      </c>
      <c r="I22" s="245">
        <v>-1799.2060241324161</v>
      </c>
      <c r="J22" s="245">
        <v>-1803.2176317670478</v>
      </c>
      <c r="K22" s="245">
        <v>-1813.2466508536279</v>
      </c>
      <c r="L22" s="245">
        <v>-1373.9756148614324</v>
      </c>
      <c r="M22" s="245">
        <v>-1440.1671408328586</v>
      </c>
      <c r="N22" s="245">
        <v>-1544.4689393332894</v>
      </c>
      <c r="O22" s="246">
        <v>-20098.154249505915</v>
      </c>
    </row>
    <row r="23" spans="1:15" x14ac:dyDescent="0.2">
      <c r="A23" s="234"/>
      <c r="B23" s="107" t="s">
        <v>48</v>
      </c>
      <c r="C23" s="108">
        <v>6865.400628043958</v>
      </c>
      <c r="D23" s="96">
        <v>9440.8078523358854</v>
      </c>
      <c r="E23" s="96">
        <v>5574.1690607962255</v>
      </c>
      <c r="F23" s="96">
        <v>3986.5892649998318</v>
      </c>
      <c r="G23" s="96">
        <v>4487.5588894511384</v>
      </c>
      <c r="H23" s="96">
        <v>5962.2441219908987</v>
      </c>
      <c r="I23" s="96">
        <v>6329.1514525749544</v>
      </c>
      <c r="J23" s="96">
        <v>6343.2632729820334</v>
      </c>
      <c r="K23" s="96">
        <v>6378.5428239997309</v>
      </c>
      <c r="L23" s="96">
        <v>4833.2984894245747</v>
      </c>
      <c r="M23" s="96">
        <v>5066.143526141379</v>
      </c>
      <c r="N23" s="96">
        <v>5433.0508567254346</v>
      </c>
      <c r="O23" s="109">
        <v>70700.220239466042</v>
      </c>
    </row>
    <row r="24" spans="1:15" x14ac:dyDescent="0.2">
      <c r="A24" s="234"/>
      <c r="B24" s="107" t="s">
        <v>86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34"/>
      <c r="B25" s="107" t="s">
        <v>88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69</v>
      </c>
      <c r="C26" s="104">
        <v>35.784944143620507</v>
      </c>
      <c r="D26" s="105">
        <v>40.897079021280582</v>
      </c>
      <c r="E26" s="105">
        <v>25.560674388300363</v>
      </c>
      <c r="F26" s="105">
        <v>30.672809265960439</v>
      </c>
      <c r="G26" s="105">
        <v>20.448539510640291</v>
      </c>
      <c r="H26" s="105">
        <v>66.457753409580945</v>
      </c>
      <c r="I26" s="105">
        <v>86.906292920221233</v>
      </c>
      <c r="J26" s="105">
        <v>86.906292920221233</v>
      </c>
      <c r="K26" s="105">
        <v>81.794158042561165</v>
      </c>
      <c r="L26" s="105">
        <v>25.560674388300363</v>
      </c>
      <c r="M26" s="105">
        <v>25.560674388300363</v>
      </c>
      <c r="N26" s="105">
        <v>30.672809265960439</v>
      </c>
      <c r="O26" s="106">
        <v>557.22270166494786</v>
      </c>
    </row>
    <row r="27" spans="1:15" x14ac:dyDescent="0.2">
      <c r="A27" s="234"/>
      <c r="B27" s="107" t="s">
        <v>25</v>
      </c>
      <c r="C27" s="244">
        <v>-13.606427281156172</v>
      </c>
      <c r="D27" s="245">
        <v>-15.550202607035622</v>
      </c>
      <c r="E27" s="245">
        <v>-9.7188766293972648</v>
      </c>
      <c r="F27" s="245">
        <v>-11.662651955276715</v>
      </c>
      <c r="G27" s="245">
        <v>-7.7751013035178111</v>
      </c>
      <c r="H27" s="245">
        <v>-25.269079236432887</v>
      </c>
      <c r="I27" s="245">
        <v>-33.044180539950702</v>
      </c>
      <c r="J27" s="245">
        <v>-33.044180539950702</v>
      </c>
      <c r="K27" s="245">
        <v>-31.100405214071245</v>
      </c>
      <c r="L27" s="245">
        <v>-9.7188766293972648</v>
      </c>
      <c r="M27" s="245">
        <v>-9.7188766293972648</v>
      </c>
      <c r="N27" s="245">
        <v>-11.662651955276715</v>
      </c>
      <c r="O27" s="246">
        <v>-211.8715105208604</v>
      </c>
    </row>
    <row r="28" spans="1:15" x14ac:dyDescent="0.2">
      <c r="A28" s="234"/>
      <c r="B28" s="107" t="s">
        <v>26</v>
      </c>
      <c r="C28" s="244">
        <v>-0.434199440055551</v>
      </c>
      <c r="D28" s="245">
        <v>-0.49622793149205824</v>
      </c>
      <c r="E28" s="245">
        <v>-0.31014245718253641</v>
      </c>
      <c r="F28" s="245">
        <v>-0.37217094861904371</v>
      </c>
      <c r="G28" s="245">
        <v>-0.24811396574602912</v>
      </c>
      <c r="H28" s="245">
        <v>-0.80637038867459476</v>
      </c>
      <c r="I28" s="245">
        <v>-1.0544843544206239</v>
      </c>
      <c r="J28" s="245">
        <v>-1.0544843544206239</v>
      </c>
      <c r="K28" s="245">
        <v>-0.99245586298411648</v>
      </c>
      <c r="L28" s="245">
        <v>-0.31014245718253641</v>
      </c>
      <c r="M28" s="245">
        <v>-0.31014245718253641</v>
      </c>
      <c r="N28" s="245">
        <v>-0.37217094861904371</v>
      </c>
      <c r="O28" s="246">
        <v>-6.7611055665792934</v>
      </c>
    </row>
    <row r="29" spans="1:15" x14ac:dyDescent="0.2">
      <c r="A29" s="234"/>
      <c r="B29" s="107" t="s">
        <v>27</v>
      </c>
      <c r="C29" s="244">
        <v>-14.040626721211723</v>
      </c>
      <c r="D29" s="245">
        <v>-16.04643053852768</v>
      </c>
      <c r="E29" s="245">
        <v>-10.029019086579801</v>
      </c>
      <c r="F29" s="245">
        <v>-12.034822903895758</v>
      </c>
      <c r="G29" s="245">
        <v>-8.0232152692638401</v>
      </c>
      <c r="H29" s="245">
        <v>-26.075449625107481</v>
      </c>
      <c r="I29" s="245">
        <v>-34.098664894371325</v>
      </c>
      <c r="J29" s="245">
        <v>-34.098664894371325</v>
      </c>
      <c r="K29" s="245">
        <v>-32.09286107705536</v>
      </c>
      <c r="L29" s="245">
        <v>-10.029019086579801</v>
      </c>
      <c r="M29" s="245">
        <v>-10.029019086579801</v>
      </c>
      <c r="N29" s="245">
        <v>-12.034822903895758</v>
      </c>
      <c r="O29" s="246">
        <v>-218.63261608743966</v>
      </c>
    </row>
    <row r="30" spans="1:15" x14ac:dyDescent="0.2">
      <c r="A30" s="234"/>
      <c r="B30" s="107" t="s">
        <v>48</v>
      </c>
      <c r="C30" s="108">
        <v>49.391371424776679</v>
      </c>
      <c r="D30" s="96">
        <v>56.447281628316205</v>
      </c>
      <c r="E30" s="96">
        <v>35.279551017697628</v>
      </c>
      <c r="F30" s="96">
        <v>42.335461221237153</v>
      </c>
      <c r="G30" s="96">
        <v>28.223640814158102</v>
      </c>
      <c r="H30" s="96">
        <v>91.726832646013833</v>
      </c>
      <c r="I30" s="96">
        <v>119.95047346017193</v>
      </c>
      <c r="J30" s="96">
        <v>119.95047346017193</v>
      </c>
      <c r="K30" s="96">
        <v>112.89456325663241</v>
      </c>
      <c r="L30" s="96">
        <v>35.279551017697628</v>
      </c>
      <c r="M30" s="96">
        <v>35.279551017697628</v>
      </c>
      <c r="N30" s="96">
        <v>42.335461221237153</v>
      </c>
      <c r="O30" s="109">
        <v>769.09421218580815</v>
      </c>
    </row>
    <row r="31" spans="1:15" x14ac:dyDescent="0.2">
      <c r="A31" s="234"/>
      <c r="B31" s="107" t="s">
        <v>86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34"/>
      <c r="B32" s="107" t="s">
        <v>88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69</v>
      </c>
      <c r="C33" s="104">
        <v>15.336404632980219</v>
      </c>
      <c r="D33" s="105">
        <v>25.560674388300363</v>
      </c>
      <c r="E33" s="105">
        <v>20.448539510640291</v>
      </c>
      <c r="F33" s="105">
        <v>20.448539510640291</v>
      </c>
      <c r="G33" s="105">
        <v>15.336404632980219</v>
      </c>
      <c r="H33" s="105">
        <v>25.560674388300363</v>
      </c>
      <c r="I33" s="105">
        <v>25.560674388300363</v>
      </c>
      <c r="J33" s="105">
        <v>20.448539510640291</v>
      </c>
      <c r="K33" s="105">
        <v>20.448539510640291</v>
      </c>
      <c r="L33" s="105">
        <v>20.448539510640291</v>
      </c>
      <c r="M33" s="105">
        <v>20.448539510640291</v>
      </c>
      <c r="N33" s="105">
        <v>5.1121348776600728</v>
      </c>
      <c r="O33" s="106">
        <v>235.1582043723634</v>
      </c>
    </row>
    <row r="34" spans="1:15" x14ac:dyDescent="0.2">
      <c r="A34" s="234"/>
      <c r="B34" s="107" t="s">
        <v>25</v>
      </c>
      <c r="C34" s="244">
        <v>-5.8313259776383575</v>
      </c>
      <c r="D34" s="245">
        <v>-9.7188766293972648</v>
      </c>
      <c r="E34" s="245">
        <v>-7.7751013035178111</v>
      </c>
      <c r="F34" s="245">
        <v>-7.7751013035178111</v>
      </c>
      <c r="G34" s="245">
        <v>-5.8313259776383575</v>
      </c>
      <c r="H34" s="245">
        <v>-9.7188766293972648</v>
      </c>
      <c r="I34" s="245">
        <v>-9.7188766293972648</v>
      </c>
      <c r="J34" s="245">
        <v>-7.7751013035178111</v>
      </c>
      <c r="K34" s="245">
        <v>-7.7751013035178111</v>
      </c>
      <c r="L34" s="245">
        <v>-7.7751013035178111</v>
      </c>
      <c r="M34" s="245">
        <v>-7.7751013035178111</v>
      </c>
      <c r="N34" s="245">
        <v>-1.9437753258794528</v>
      </c>
      <c r="O34" s="246">
        <v>-89.413664990454848</v>
      </c>
    </row>
    <row r="35" spans="1:15" x14ac:dyDescent="0.2">
      <c r="A35" s="234"/>
      <c r="B35" s="107" t="s">
        <v>26</v>
      </c>
      <c r="C35" s="244">
        <v>-0.18608547430952185</v>
      </c>
      <c r="D35" s="245">
        <v>-0.31014245718253641</v>
      </c>
      <c r="E35" s="245">
        <v>-0.24811396574602912</v>
      </c>
      <c r="F35" s="245">
        <v>-0.24811396574602912</v>
      </c>
      <c r="G35" s="245">
        <v>-0.18608547430952185</v>
      </c>
      <c r="H35" s="245">
        <v>-0.31014245718253641</v>
      </c>
      <c r="I35" s="245">
        <v>-0.31014245718253641</v>
      </c>
      <c r="J35" s="245">
        <v>-0.24811396574602912</v>
      </c>
      <c r="K35" s="245">
        <v>-0.24811396574602912</v>
      </c>
      <c r="L35" s="245">
        <v>-0.24811396574602912</v>
      </c>
      <c r="M35" s="245">
        <v>-0.24811396574602912</v>
      </c>
      <c r="N35" s="245">
        <v>-6.202849143650728E-2</v>
      </c>
      <c r="O35" s="246">
        <v>-2.8533106060793343</v>
      </c>
    </row>
    <row r="36" spans="1:15" x14ac:dyDescent="0.2">
      <c r="A36" s="234"/>
      <c r="B36" s="107" t="s">
        <v>27</v>
      </c>
      <c r="C36" s="244">
        <v>-6.0174114519478792</v>
      </c>
      <c r="D36" s="245">
        <v>-10.029019086579801</v>
      </c>
      <c r="E36" s="245">
        <v>-8.0232152692638401</v>
      </c>
      <c r="F36" s="245">
        <v>-8.0232152692638401</v>
      </c>
      <c r="G36" s="245">
        <v>-6.0174114519478792</v>
      </c>
      <c r="H36" s="245">
        <v>-10.029019086579801</v>
      </c>
      <c r="I36" s="245">
        <v>-10.029019086579801</v>
      </c>
      <c r="J36" s="245">
        <v>-8.0232152692638401</v>
      </c>
      <c r="K36" s="245">
        <v>-8.0232152692638401</v>
      </c>
      <c r="L36" s="245">
        <v>-8.0232152692638401</v>
      </c>
      <c r="M36" s="245">
        <v>-8.0232152692638401</v>
      </c>
      <c r="N36" s="245">
        <v>-2.00580381731596</v>
      </c>
      <c r="O36" s="246">
        <v>-92.266975596534181</v>
      </c>
    </row>
    <row r="37" spans="1:15" x14ac:dyDescent="0.2">
      <c r="A37" s="234"/>
      <c r="B37" s="107" t="s">
        <v>48</v>
      </c>
      <c r="C37" s="108">
        <v>21.167730610618577</v>
      </c>
      <c r="D37" s="96">
        <v>35.279551017697628</v>
      </c>
      <c r="E37" s="96">
        <v>28.223640814158102</v>
      </c>
      <c r="F37" s="96">
        <v>28.223640814158102</v>
      </c>
      <c r="G37" s="96">
        <v>21.167730610618577</v>
      </c>
      <c r="H37" s="96">
        <v>35.279551017697628</v>
      </c>
      <c r="I37" s="96">
        <v>35.279551017697628</v>
      </c>
      <c r="J37" s="96">
        <v>28.223640814158102</v>
      </c>
      <c r="K37" s="96">
        <v>28.223640814158102</v>
      </c>
      <c r="L37" s="96">
        <v>28.223640814158102</v>
      </c>
      <c r="M37" s="96">
        <v>28.223640814158102</v>
      </c>
      <c r="N37" s="96">
        <v>7.0559102035395256</v>
      </c>
      <c r="O37" s="109">
        <v>324.57186936281812</v>
      </c>
    </row>
    <row r="38" spans="1:15" x14ac:dyDescent="0.2">
      <c r="A38" s="234"/>
      <c r="B38" s="107" t="s">
        <v>86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34"/>
      <c r="B39" s="107" t="s">
        <v>88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69</v>
      </c>
      <c r="C40" s="104">
        <v>189.14899047342269</v>
      </c>
      <c r="D40" s="105">
        <v>168.70045096278241</v>
      </c>
      <c r="E40" s="105">
        <v>240.27033925002343</v>
      </c>
      <c r="F40" s="105">
        <v>199.37326022874285</v>
      </c>
      <c r="G40" s="105">
        <v>235.15820437236334</v>
      </c>
      <c r="H40" s="105">
        <v>260.7188787606637</v>
      </c>
      <c r="I40" s="105">
        <v>235.15820437236334</v>
      </c>
      <c r="J40" s="105">
        <v>255.60674388300365</v>
      </c>
      <c r="K40" s="105">
        <v>230.04606949470329</v>
      </c>
      <c r="L40" s="105">
        <v>235.15820437236334</v>
      </c>
      <c r="M40" s="105">
        <v>245.38247412768351</v>
      </c>
      <c r="N40" s="105">
        <v>214.70966486172307</v>
      </c>
      <c r="O40" s="106">
        <v>2709.4314851598388</v>
      </c>
    </row>
    <row r="41" spans="1:15" x14ac:dyDescent="0.2">
      <c r="A41" s="234"/>
      <c r="B41" s="107" t="s">
        <v>25</v>
      </c>
      <c r="C41" s="244">
        <v>-71.919687057539733</v>
      </c>
      <c r="D41" s="245">
        <v>-64.144585754021932</v>
      </c>
      <c r="E41" s="245">
        <v>-91.357440316334305</v>
      </c>
      <c r="F41" s="245">
        <v>-75.807237709298676</v>
      </c>
      <c r="G41" s="245">
        <v>-89.413664990454834</v>
      </c>
      <c r="H41" s="245">
        <v>-99.132541619852134</v>
      </c>
      <c r="I41" s="245">
        <v>-89.413664990454834</v>
      </c>
      <c r="J41" s="245">
        <v>-97.188766293972634</v>
      </c>
      <c r="K41" s="245">
        <v>-87.469889664575334</v>
      </c>
      <c r="L41" s="245">
        <v>-89.413664990454834</v>
      </c>
      <c r="M41" s="245">
        <v>-93.30121564221372</v>
      </c>
      <c r="N41" s="245">
        <v>-81.638563686937005</v>
      </c>
      <c r="O41" s="246">
        <v>-1030.20092271611</v>
      </c>
    </row>
    <row r="42" spans="1:15" x14ac:dyDescent="0.2">
      <c r="A42" s="234"/>
      <c r="B42" s="107" t="s">
        <v>26</v>
      </c>
      <c r="C42" s="244">
        <v>-2.2950541831507696</v>
      </c>
      <c r="D42" s="245">
        <v>-2.0469402174047402</v>
      </c>
      <c r="E42" s="245">
        <v>-2.9153390975158424</v>
      </c>
      <c r="F42" s="245">
        <v>-2.4191111660237841</v>
      </c>
      <c r="G42" s="245">
        <v>-2.8533106060793352</v>
      </c>
      <c r="H42" s="245">
        <v>-3.1634530632618718</v>
      </c>
      <c r="I42" s="245">
        <v>-2.8533106060793352</v>
      </c>
      <c r="J42" s="245">
        <v>-3.1014245718253646</v>
      </c>
      <c r="K42" s="245">
        <v>-2.7912821146428279</v>
      </c>
      <c r="L42" s="245">
        <v>-2.8533106060793352</v>
      </c>
      <c r="M42" s="245">
        <v>-2.9773675889523497</v>
      </c>
      <c r="N42" s="245">
        <v>-2.6051966403333058</v>
      </c>
      <c r="O42" s="246">
        <v>-32.875100461348865</v>
      </c>
    </row>
    <row r="43" spans="1:15" x14ac:dyDescent="0.2">
      <c r="A43" s="234"/>
      <c r="B43" s="107" t="s">
        <v>27</v>
      </c>
      <c r="C43" s="244">
        <v>-74.2147412406905</v>
      </c>
      <c r="D43" s="245">
        <v>-66.191525971426671</v>
      </c>
      <c r="E43" s="245">
        <v>-94.272779413850145</v>
      </c>
      <c r="F43" s="245">
        <v>-78.226348875322458</v>
      </c>
      <c r="G43" s="245">
        <v>-92.266975596534166</v>
      </c>
      <c r="H43" s="245">
        <v>-102.295994683114</v>
      </c>
      <c r="I43" s="245">
        <v>-92.266975596534166</v>
      </c>
      <c r="J43" s="245">
        <v>-100.290190865798</v>
      </c>
      <c r="K43" s="245">
        <v>-90.261171779218159</v>
      </c>
      <c r="L43" s="245">
        <v>-92.266975596534166</v>
      </c>
      <c r="M43" s="245">
        <v>-96.278583231166067</v>
      </c>
      <c r="N43" s="245">
        <v>-84.243760327270309</v>
      </c>
      <c r="O43" s="246">
        <v>-1063.0760231774589</v>
      </c>
    </row>
    <row r="44" spans="1:15" x14ac:dyDescent="0.2">
      <c r="A44" s="234"/>
      <c r="B44" s="107" t="s">
        <v>48</v>
      </c>
      <c r="C44" s="108">
        <v>261.06867753096242</v>
      </c>
      <c r="D44" s="96">
        <v>232.84503671680434</v>
      </c>
      <c r="E44" s="96">
        <v>331.62777956635773</v>
      </c>
      <c r="F44" s="96">
        <v>275.18049793804153</v>
      </c>
      <c r="G44" s="96">
        <v>324.57186936281818</v>
      </c>
      <c r="H44" s="96">
        <v>359.85142038051583</v>
      </c>
      <c r="I44" s="96">
        <v>324.57186936281818</v>
      </c>
      <c r="J44" s="96">
        <v>352.79551017697628</v>
      </c>
      <c r="K44" s="96">
        <v>317.51595915927862</v>
      </c>
      <c r="L44" s="96">
        <v>324.57186936281818</v>
      </c>
      <c r="M44" s="96">
        <v>338.68368976989723</v>
      </c>
      <c r="N44" s="96">
        <v>296.34822854866007</v>
      </c>
      <c r="O44" s="109">
        <v>3739.632407875949</v>
      </c>
    </row>
    <row r="45" spans="1:15" x14ac:dyDescent="0.2">
      <c r="A45" s="234"/>
      <c r="B45" s="107" t="s">
        <v>86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34"/>
      <c r="B46" s="107" t="s">
        <v>88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69</v>
      </c>
      <c r="C47" s="104">
        <v>388.52225070216554</v>
      </c>
      <c r="D47" s="105">
        <v>506.10135288834721</v>
      </c>
      <c r="E47" s="105">
        <v>337.40090192556482</v>
      </c>
      <c r="F47" s="105">
        <v>342.51303680322485</v>
      </c>
      <c r="G47" s="105">
        <v>516.32562264366732</v>
      </c>
      <c r="H47" s="105">
        <v>720.81101775007028</v>
      </c>
      <c r="I47" s="105">
        <v>741.25955726071061</v>
      </c>
      <c r="J47" s="105">
        <v>761.70809677135082</v>
      </c>
      <c r="K47" s="105">
        <v>766.82023164901091</v>
      </c>
      <c r="L47" s="105">
        <v>582.78337605324828</v>
      </c>
      <c r="M47" s="105">
        <v>337.40090192556482</v>
      </c>
      <c r="N47" s="105">
        <v>368.07371119152526</v>
      </c>
      <c r="O47" s="106">
        <v>6369.7200575644501</v>
      </c>
    </row>
    <row r="48" spans="1:15" x14ac:dyDescent="0.2">
      <c r="A48" s="234"/>
      <c r="B48" s="107" t="s">
        <v>25</v>
      </c>
      <c r="C48" s="244">
        <v>-147.72692476683841</v>
      </c>
      <c r="D48" s="245">
        <v>-192.43375726206585</v>
      </c>
      <c r="E48" s="245">
        <v>-128.28917150804386</v>
      </c>
      <c r="F48" s="245">
        <v>-130.23294683392339</v>
      </c>
      <c r="G48" s="245">
        <v>-196.32130791382474</v>
      </c>
      <c r="H48" s="245">
        <v>-274.0723209490028</v>
      </c>
      <c r="I48" s="245">
        <v>-281.84742225252057</v>
      </c>
      <c r="J48" s="245">
        <v>-289.62252355603857</v>
      </c>
      <c r="K48" s="245">
        <v>-291.56629888191799</v>
      </c>
      <c r="L48" s="245">
        <v>-221.59038715025758</v>
      </c>
      <c r="M48" s="245">
        <v>-128.28917150804386</v>
      </c>
      <c r="N48" s="245">
        <v>-139.95182346332058</v>
      </c>
      <c r="O48" s="246">
        <v>-2421.9440560457988</v>
      </c>
    </row>
    <row r="49" spans="1:15" x14ac:dyDescent="0.2">
      <c r="A49" s="234"/>
      <c r="B49" s="107" t="s">
        <v>26</v>
      </c>
      <c r="C49" s="244">
        <v>-4.7141653491745537</v>
      </c>
      <c r="D49" s="245">
        <v>-6.1408206522142219</v>
      </c>
      <c r="E49" s="245">
        <v>-4.0938804348094804</v>
      </c>
      <c r="F49" s="245">
        <v>-4.1559089262459876</v>
      </c>
      <c r="G49" s="245">
        <v>-6.2648776350872364</v>
      </c>
      <c r="H49" s="245">
        <v>-8.7460172925475277</v>
      </c>
      <c r="I49" s="245">
        <v>-8.9941312582935566</v>
      </c>
      <c r="J49" s="245">
        <v>-9.2422452240395856</v>
      </c>
      <c r="K49" s="245">
        <v>-9.3042737154760928</v>
      </c>
      <c r="L49" s="245">
        <v>-7.0712480237618305</v>
      </c>
      <c r="M49" s="245">
        <v>-4.0938804348094804</v>
      </c>
      <c r="N49" s="245">
        <v>-4.4660513834285247</v>
      </c>
      <c r="O49" s="246">
        <v>-77.287500329888076</v>
      </c>
    </row>
    <row r="50" spans="1:15" x14ac:dyDescent="0.2">
      <c r="A50" s="234"/>
      <c r="B50" s="107" t="s">
        <v>27</v>
      </c>
      <c r="C50" s="244">
        <v>-152.44109011601296</v>
      </c>
      <c r="D50" s="245">
        <v>-198.57457791428007</v>
      </c>
      <c r="E50" s="245">
        <v>-132.38305194285334</v>
      </c>
      <c r="F50" s="245">
        <v>-134.38885576016938</v>
      </c>
      <c r="G50" s="245">
        <v>-202.58618554891197</v>
      </c>
      <c r="H50" s="245">
        <v>-282.81833824155035</v>
      </c>
      <c r="I50" s="245">
        <v>-290.84155351081415</v>
      </c>
      <c r="J50" s="245">
        <v>-298.86476878007818</v>
      </c>
      <c r="K50" s="245">
        <v>-300.87057259739407</v>
      </c>
      <c r="L50" s="245">
        <v>-228.66163517401941</v>
      </c>
      <c r="M50" s="245">
        <v>-132.38305194285334</v>
      </c>
      <c r="N50" s="245">
        <v>-144.4178748467491</v>
      </c>
      <c r="O50" s="246">
        <v>-2499.2315563756865</v>
      </c>
    </row>
    <row r="51" spans="1:15" x14ac:dyDescent="0.2">
      <c r="A51" s="234"/>
      <c r="B51" s="107" t="s">
        <v>48</v>
      </c>
      <c r="C51" s="108">
        <v>536.24917546900394</v>
      </c>
      <c r="D51" s="96">
        <v>698.53511015041306</v>
      </c>
      <c r="E51" s="96">
        <v>465.69007343360869</v>
      </c>
      <c r="F51" s="96">
        <v>472.74598363714824</v>
      </c>
      <c r="G51" s="96">
        <v>712.64693055749206</v>
      </c>
      <c r="H51" s="96">
        <v>994.88333869907308</v>
      </c>
      <c r="I51" s="96">
        <v>1023.1069795132312</v>
      </c>
      <c r="J51" s="96">
        <v>1051.3306203273894</v>
      </c>
      <c r="K51" s="96">
        <v>1058.3865305309289</v>
      </c>
      <c r="L51" s="96">
        <v>804.37376320350586</v>
      </c>
      <c r="M51" s="96">
        <v>465.69007343360869</v>
      </c>
      <c r="N51" s="96">
        <v>508.02553465484584</v>
      </c>
      <c r="O51" s="109">
        <v>8791.664113610248</v>
      </c>
    </row>
    <row r="52" spans="1:15" x14ac:dyDescent="0.2">
      <c r="A52" s="234"/>
      <c r="B52" s="107" t="s">
        <v>86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34"/>
      <c r="B53" s="107" t="s">
        <v>88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69</v>
      </c>
      <c r="C54" s="104">
        <v>12964.374049745944</v>
      </c>
      <c r="D54" s="105">
        <v>15213.713395916377</v>
      </c>
      <c r="E54" s="105">
        <v>11262.033135485141</v>
      </c>
      <c r="F54" s="105">
        <v>10970.641447458516</v>
      </c>
      <c r="G54" s="105">
        <v>15137.031372751475</v>
      </c>
      <c r="H54" s="105">
        <v>19564.1401768051</v>
      </c>
      <c r="I54" s="105">
        <v>20131.587148225368</v>
      </c>
      <c r="J54" s="105">
        <v>20458.763780395613</v>
      </c>
      <c r="K54" s="105">
        <v>20596.791422092432</v>
      </c>
      <c r="L54" s="105">
        <v>15965.197222932407</v>
      </c>
      <c r="M54" s="105">
        <v>11568.761228144745</v>
      </c>
      <c r="N54" s="105">
        <v>12161.768873953313</v>
      </c>
      <c r="O54" s="106">
        <v>185994.80325390646</v>
      </c>
    </row>
    <row r="55" spans="1:15" x14ac:dyDescent="0.2">
      <c r="A55" s="234"/>
      <c r="B55" s="107" t="s">
        <v>25</v>
      </c>
      <c r="C55" s="244">
        <v>-4929.4142264302936</v>
      </c>
      <c r="D55" s="245">
        <v>-5784.6753698172506</v>
      </c>
      <c r="E55" s="245">
        <v>-4282.1370429124345</v>
      </c>
      <c r="F55" s="245">
        <v>-4171.3418493373065</v>
      </c>
      <c r="G55" s="245">
        <v>-5755.5187399290608</v>
      </c>
      <c r="H55" s="245">
        <v>-7438.8281721406638</v>
      </c>
      <c r="I55" s="245">
        <v>-7654.5872333132829</v>
      </c>
      <c r="J55" s="245">
        <v>-7778.9888541695691</v>
      </c>
      <c r="K55" s="245">
        <v>-7831.4707879683156</v>
      </c>
      <c r="L55" s="245">
        <v>-6070.4103427215323</v>
      </c>
      <c r="M55" s="245">
        <v>-4398.7635624652012</v>
      </c>
      <c r="N55" s="245">
        <v>-4624.2415002672187</v>
      </c>
      <c r="O55" s="246">
        <v>-70720.377681472135</v>
      </c>
    </row>
    <row r="56" spans="1:15" x14ac:dyDescent="0.2">
      <c r="A56" s="234"/>
      <c r="B56" s="107" t="s">
        <v>26</v>
      </c>
      <c r="C56" s="244">
        <v>-157.30425428298247</v>
      </c>
      <c r="D56" s="245">
        <v>-184.59679051504568</v>
      </c>
      <c r="E56" s="245">
        <v>-136.64876663462556</v>
      </c>
      <c r="F56" s="245">
        <v>-133.11314262274465</v>
      </c>
      <c r="G56" s="245">
        <v>-183.66636314349807</v>
      </c>
      <c r="H56" s="245">
        <v>-237.38303672751337</v>
      </c>
      <c r="I56" s="245">
        <v>-244.26819927696567</v>
      </c>
      <c r="J56" s="245">
        <v>-248.23802272890214</v>
      </c>
      <c r="K56" s="245">
        <v>-249.91279199768786</v>
      </c>
      <c r="L56" s="245">
        <v>-193.71497875621228</v>
      </c>
      <c r="M56" s="245">
        <v>-140.37047612081599</v>
      </c>
      <c r="N56" s="245">
        <v>-147.56578112745083</v>
      </c>
      <c r="O56" s="246">
        <v>-2256.782603934445</v>
      </c>
    </row>
    <row r="57" spans="1:15" x14ac:dyDescent="0.2">
      <c r="A57" s="234"/>
      <c r="B57" s="107" t="s">
        <v>27</v>
      </c>
      <c r="C57" s="244">
        <v>-5086.7184807132762</v>
      </c>
      <c r="D57" s="245">
        <v>-5969.2721603322962</v>
      </c>
      <c r="E57" s="245">
        <v>-4418.7858095470601</v>
      </c>
      <c r="F57" s="245">
        <v>-4304.4549919600513</v>
      </c>
      <c r="G57" s="245">
        <v>-5939.1851030725593</v>
      </c>
      <c r="H57" s="245">
        <v>-7676.211208868177</v>
      </c>
      <c r="I57" s="245">
        <v>-7898.8554325902487</v>
      </c>
      <c r="J57" s="245">
        <v>-8027.2268768984713</v>
      </c>
      <c r="K57" s="245">
        <v>-8081.3835799660037</v>
      </c>
      <c r="L57" s="245">
        <v>-6264.1253214777444</v>
      </c>
      <c r="M57" s="245">
        <v>-4539.1340385860176</v>
      </c>
      <c r="N57" s="245">
        <v>-4771.8072813946692</v>
      </c>
      <c r="O57" s="246">
        <v>-72977.160285406571</v>
      </c>
    </row>
    <row r="58" spans="1:15" x14ac:dyDescent="0.2">
      <c r="A58" s="234"/>
      <c r="B58" s="107" t="s">
        <v>48</v>
      </c>
      <c r="C58" s="108">
        <v>17893.788276176238</v>
      </c>
      <c r="D58" s="96">
        <v>20998.388765733627</v>
      </c>
      <c r="E58" s="96">
        <v>15544.170178397575</v>
      </c>
      <c r="F58" s="96">
        <v>15141.983296795823</v>
      </c>
      <c r="G58" s="96">
        <v>20892.550112680536</v>
      </c>
      <c r="H58" s="96">
        <v>27002.968348945764</v>
      </c>
      <c r="I58" s="96">
        <v>27786.174381538651</v>
      </c>
      <c r="J58" s="96">
        <v>28237.752634565182</v>
      </c>
      <c r="K58" s="96">
        <v>28428.262210060748</v>
      </c>
      <c r="L58" s="96">
        <v>22035.60756565394</v>
      </c>
      <c r="M58" s="96">
        <v>15967.524790609947</v>
      </c>
      <c r="N58" s="96">
        <v>16786.010374220532</v>
      </c>
      <c r="O58" s="109">
        <v>256715.18093537856</v>
      </c>
    </row>
    <row r="59" spans="1:15" x14ac:dyDescent="0.2">
      <c r="A59" s="234"/>
      <c r="B59" s="107" t="s">
        <v>86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34"/>
      <c r="B60" s="107" t="s">
        <v>88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69</v>
      </c>
      <c r="C61" s="104">
        <v>14165.725745996062</v>
      </c>
      <c r="D61" s="105">
        <v>16031.654976341988</v>
      </c>
      <c r="E61" s="105">
        <v>11957.28347884691</v>
      </c>
      <c r="F61" s="105">
        <v>12238.450897118215</v>
      </c>
      <c r="G61" s="105">
        <v>14349.762601591825</v>
      </c>
      <c r="H61" s="105">
        <v>17100.091165772945</v>
      </c>
      <c r="I61" s="105">
        <v>18020.275443751758</v>
      </c>
      <c r="J61" s="105">
        <v>17964.041960097496</v>
      </c>
      <c r="K61" s="105">
        <v>17820.902183523012</v>
      </c>
      <c r="L61" s="105">
        <v>14196.398555262022</v>
      </c>
      <c r="M61" s="105">
        <v>11676.116060575607</v>
      </c>
      <c r="N61" s="105">
        <v>12396.927078325676</v>
      </c>
      <c r="O61" s="106">
        <v>177917.63014720354</v>
      </c>
    </row>
    <row r="62" spans="1:15" x14ac:dyDescent="0.2">
      <c r="A62" s="234"/>
      <c r="B62" s="107" t="s">
        <v>25</v>
      </c>
      <c r="C62" s="244">
        <v>-5386.2014280119638</v>
      </c>
      <c r="D62" s="245">
        <v>-6095.6794219579624</v>
      </c>
      <c r="E62" s="245">
        <v>-4546.4904872320421</v>
      </c>
      <c r="F62" s="245">
        <v>-4653.3981301554086</v>
      </c>
      <c r="G62" s="245">
        <v>-5456.1773397436227</v>
      </c>
      <c r="H62" s="245">
        <v>-6501.9284650667687</v>
      </c>
      <c r="I62" s="245">
        <v>-6851.8080237250688</v>
      </c>
      <c r="J62" s="245">
        <v>-6830.4264951403966</v>
      </c>
      <c r="K62" s="245">
        <v>-6776.0007860157748</v>
      </c>
      <c r="L62" s="245">
        <v>-5397.8640799672394</v>
      </c>
      <c r="M62" s="245">
        <v>-4439.5828443086702</v>
      </c>
      <c r="N62" s="245">
        <v>-4713.6551652576745</v>
      </c>
      <c r="O62" s="246">
        <v>-67649.212666582607</v>
      </c>
    </row>
    <row r="63" spans="1:15" x14ac:dyDescent="0.2">
      <c r="A63" s="234"/>
      <c r="B63" s="107" t="s">
        <v>26</v>
      </c>
      <c r="C63" s="244">
        <v>-171.8809497705617</v>
      </c>
      <c r="D63" s="245">
        <v>-194.52134914488687</v>
      </c>
      <c r="E63" s="245">
        <v>-145.08464146999054</v>
      </c>
      <c r="F63" s="245">
        <v>-148.49620849899844</v>
      </c>
      <c r="G63" s="245">
        <v>-174.11397546227593</v>
      </c>
      <c r="H63" s="245">
        <v>-207.48530385511688</v>
      </c>
      <c r="I63" s="245">
        <v>-218.65043231368819</v>
      </c>
      <c r="J63" s="245">
        <v>-217.96811890788658</v>
      </c>
      <c r="K63" s="245">
        <v>-216.2313211476644</v>
      </c>
      <c r="L63" s="245">
        <v>-172.25312071918074</v>
      </c>
      <c r="M63" s="245">
        <v>-141.67307444098265</v>
      </c>
      <c r="N63" s="245">
        <v>-150.41909173353017</v>
      </c>
      <c r="O63" s="246">
        <v>-2158.7775874647627</v>
      </c>
    </row>
    <row r="64" spans="1:15" x14ac:dyDescent="0.2">
      <c r="A64" s="234"/>
      <c r="B64" s="107" t="s">
        <v>27</v>
      </c>
      <c r="C64" s="244">
        <v>-5558.0823777825253</v>
      </c>
      <c r="D64" s="245">
        <v>-6290.2007711028491</v>
      </c>
      <c r="E64" s="245">
        <v>-4691.575128702033</v>
      </c>
      <c r="F64" s="245">
        <v>-4801.894338654407</v>
      </c>
      <c r="G64" s="245">
        <v>-5630.2913152058991</v>
      </c>
      <c r="H64" s="245">
        <v>-6709.413768921886</v>
      </c>
      <c r="I64" s="245">
        <v>-7070.4584560387566</v>
      </c>
      <c r="J64" s="245">
        <v>-7048.3946140482831</v>
      </c>
      <c r="K64" s="245">
        <v>-6992.2321071634397</v>
      </c>
      <c r="L64" s="245">
        <v>-5570.1172006864199</v>
      </c>
      <c r="M64" s="245">
        <v>-4581.2559187496527</v>
      </c>
      <c r="N64" s="245">
        <v>-4864.0742569912045</v>
      </c>
      <c r="O64" s="246">
        <v>-69807.990254047356</v>
      </c>
    </row>
    <row r="65" spans="1:15" x14ac:dyDescent="0.2">
      <c r="A65" s="234"/>
      <c r="B65" s="107" t="s">
        <v>48</v>
      </c>
      <c r="C65" s="108">
        <v>19551.927174008026</v>
      </c>
      <c r="D65" s="96">
        <v>22127.33439829995</v>
      </c>
      <c r="E65" s="96">
        <v>16503.773966078952</v>
      </c>
      <c r="F65" s="96">
        <v>16891.849027273624</v>
      </c>
      <c r="G65" s="96">
        <v>19805.939941335448</v>
      </c>
      <c r="H65" s="96">
        <v>23602.019630839713</v>
      </c>
      <c r="I65" s="96">
        <v>24872.083467476827</v>
      </c>
      <c r="J65" s="96">
        <v>24794.468455237893</v>
      </c>
      <c r="K65" s="96">
        <v>24596.902969538787</v>
      </c>
      <c r="L65" s="96">
        <v>19594.262635229261</v>
      </c>
      <c r="M65" s="96">
        <v>16115.698904884277</v>
      </c>
      <c r="N65" s="96">
        <v>17110.582243583351</v>
      </c>
      <c r="O65" s="109">
        <v>245566.84281378612</v>
      </c>
    </row>
    <row r="66" spans="1:15" x14ac:dyDescent="0.2">
      <c r="A66" s="234"/>
      <c r="B66" s="107" t="s">
        <v>86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34"/>
      <c r="B67" s="107" t="s">
        <v>88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69</v>
      </c>
      <c r="C68" s="104">
        <v>219.82179973938312</v>
      </c>
      <c r="D68" s="105">
        <v>245.38247412768351</v>
      </c>
      <c r="E68" s="105">
        <v>178.92472071810255</v>
      </c>
      <c r="F68" s="105">
        <v>148.25191145214211</v>
      </c>
      <c r="G68" s="105">
        <v>173.81258584044247</v>
      </c>
      <c r="H68" s="105">
        <v>230.04606949470329</v>
      </c>
      <c r="I68" s="105">
        <v>245.38247412768351</v>
      </c>
      <c r="J68" s="105">
        <v>235.15820437236334</v>
      </c>
      <c r="K68" s="105">
        <v>235.15820437236334</v>
      </c>
      <c r="L68" s="105">
        <v>209.59752998406299</v>
      </c>
      <c r="M68" s="105">
        <v>204.4853951064029</v>
      </c>
      <c r="N68" s="105">
        <v>199.37326022874285</v>
      </c>
      <c r="O68" s="106">
        <v>2525.3946295640758</v>
      </c>
    </row>
    <row r="69" spans="1:15" x14ac:dyDescent="0.2">
      <c r="A69" s="234"/>
      <c r="B69" s="107" t="s">
        <v>25</v>
      </c>
      <c r="C69" s="244">
        <v>-83.582339012816504</v>
      </c>
      <c r="D69" s="245">
        <v>-93.30121564221372</v>
      </c>
      <c r="E69" s="245">
        <v>-68.032136405780847</v>
      </c>
      <c r="F69" s="245">
        <v>-56.369484450504132</v>
      </c>
      <c r="G69" s="245">
        <v>-66.088361079901404</v>
      </c>
      <c r="H69" s="245">
        <v>-87.469889664575334</v>
      </c>
      <c r="I69" s="245">
        <v>-93.30121564221372</v>
      </c>
      <c r="J69" s="245">
        <v>-89.413664990454834</v>
      </c>
      <c r="K69" s="245">
        <v>-89.413664990454834</v>
      </c>
      <c r="L69" s="245">
        <v>-79.694788361057533</v>
      </c>
      <c r="M69" s="245">
        <v>-77.751013035178119</v>
      </c>
      <c r="N69" s="245">
        <v>-75.807237709298676</v>
      </c>
      <c r="O69" s="246">
        <v>-960.2250109844498</v>
      </c>
    </row>
    <row r="70" spans="1:15" x14ac:dyDescent="0.2">
      <c r="A70" s="234"/>
      <c r="B70" s="107" t="s">
        <v>26</v>
      </c>
      <c r="C70" s="244">
        <v>-2.667225131769813</v>
      </c>
      <c r="D70" s="245">
        <v>-2.9773675889523497</v>
      </c>
      <c r="E70" s="245">
        <v>-2.1709972002777551</v>
      </c>
      <c r="F70" s="245">
        <v>-1.7988262516587112</v>
      </c>
      <c r="G70" s="245">
        <v>-2.1089687088412479</v>
      </c>
      <c r="H70" s="245">
        <v>-2.7912821146428279</v>
      </c>
      <c r="I70" s="245">
        <v>-2.9773675889523497</v>
      </c>
      <c r="J70" s="245">
        <v>-2.8533106060793352</v>
      </c>
      <c r="K70" s="245">
        <v>-2.8533106060793352</v>
      </c>
      <c r="L70" s="245">
        <v>-2.5431681488967985</v>
      </c>
      <c r="M70" s="245">
        <v>-2.4811396574602913</v>
      </c>
      <c r="N70" s="245">
        <v>-2.4191111660237841</v>
      </c>
      <c r="O70" s="246">
        <v>-30.642074769634597</v>
      </c>
    </row>
    <row r="71" spans="1:15" x14ac:dyDescent="0.2">
      <c r="A71" s="234"/>
      <c r="B71" s="107" t="s">
        <v>27</v>
      </c>
      <c r="C71" s="244">
        <v>-86.249564144586316</v>
      </c>
      <c r="D71" s="245">
        <v>-96.278583231166067</v>
      </c>
      <c r="E71" s="245">
        <v>-70.2031336060586</v>
      </c>
      <c r="F71" s="245">
        <v>-58.168310702162842</v>
      </c>
      <c r="G71" s="245">
        <v>-68.19732978874265</v>
      </c>
      <c r="H71" s="245">
        <v>-90.261171779218159</v>
      </c>
      <c r="I71" s="245">
        <v>-96.278583231166067</v>
      </c>
      <c r="J71" s="245">
        <v>-92.266975596534166</v>
      </c>
      <c r="K71" s="245">
        <v>-92.266975596534166</v>
      </c>
      <c r="L71" s="245">
        <v>-82.23795650995433</v>
      </c>
      <c r="M71" s="245">
        <v>-80.232152692638408</v>
      </c>
      <c r="N71" s="245">
        <v>-78.226348875322458</v>
      </c>
      <c r="O71" s="246">
        <v>-990.8670857540842</v>
      </c>
    </row>
    <row r="72" spans="1:15" x14ac:dyDescent="0.2">
      <c r="A72" s="234"/>
      <c r="B72" s="107" t="s">
        <v>48</v>
      </c>
      <c r="C72" s="108">
        <v>303.40413875219963</v>
      </c>
      <c r="D72" s="96">
        <v>338.68368976989723</v>
      </c>
      <c r="E72" s="96">
        <v>246.9568571238834</v>
      </c>
      <c r="F72" s="96">
        <v>204.62139590264624</v>
      </c>
      <c r="G72" s="96">
        <v>239.90094692034387</v>
      </c>
      <c r="H72" s="96">
        <v>317.51595915927862</v>
      </c>
      <c r="I72" s="96">
        <v>338.68368976989723</v>
      </c>
      <c r="J72" s="96">
        <v>324.57186936281818</v>
      </c>
      <c r="K72" s="96">
        <v>324.57186936281818</v>
      </c>
      <c r="L72" s="96">
        <v>289.29231834512052</v>
      </c>
      <c r="M72" s="96">
        <v>282.23640814158102</v>
      </c>
      <c r="N72" s="96">
        <v>275.18049793804153</v>
      </c>
      <c r="O72" s="109">
        <v>3485.6196405485252</v>
      </c>
    </row>
    <row r="73" spans="1:15" x14ac:dyDescent="0.2">
      <c r="A73" s="234"/>
      <c r="B73" s="107" t="s">
        <v>86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34"/>
      <c r="B74" s="107" t="s">
        <v>88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53</v>
      </c>
      <c r="B75" s="97" t="s">
        <v>69</v>
      </c>
      <c r="C75" s="104">
        <v>531.66202727664756</v>
      </c>
      <c r="D75" s="105">
        <v>679.91393872878973</v>
      </c>
      <c r="E75" s="105">
        <v>444.75573435642633</v>
      </c>
      <c r="F75" s="105">
        <v>393.63438557982562</v>
      </c>
      <c r="G75" s="105">
        <v>531.66202727664756</v>
      </c>
      <c r="H75" s="105">
        <v>736.14742238305053</v>
      </c>
      <c r="I75" s="105">
        <v>823.0537153032717</v>
      </c>
      <c r="J75" s="105">
        <v>833.27798505859187</v>
      </c>
      <c r="K75" s="105">
        <v>782.15663628199115</v>
      </c>
      <c r="L75" s="105">
        <v>598.11978068622852</v>
      </c>
      <c r="M75" s="105">
        <v>465.2042738670666</v>
      </c>
      <c r="N75" s="105">
        <v>480.54067850004685</v>
      </c>
      <c r="O75" s="106">
        <v>7300.1286052985834</v>
      </c>
    </row>
    <row r="76" spans="1:15" x14ac:dyDescent="0.2">
      <c r="A76" s="234"/>
      <c r="B76" s="107" t="s">
        <v>25</v>
      </c>
      <c r="C76" s="108">
        <v>-202.1526338914631</v>
      </c>
      <c r="D76" s="96">
        <v>-258.52211834196714</v>
      </c>
      <c r="E76" s="96">
        <v>-169.10845335151242</v>
      </c>
      <c r="F76" s="96">
        <v>-149.67070009271782</v>
      </c>
      <c r="G76" s="96">
        <v>-202.1526338914631</v>
      </c>
      <c r="H76" s="96">
        <v>-279.90364692664116</v>
      </c>
      <c r="I76" s="96">
        <v>-312.94782746659189</v>
      </c>
      <c r="J76" s="96">
        <v>-316.83537811835072</v>
      </c>
      <c r="K76" s="96">
        <v>-297.39762485955623</v>
      </c>
      <c r="L76" s="96">
        <v>-227.42171312789594</v>
      </c>
      <c r="M76" s="96">
        <v>-176.88355465503025</v>
      </c>
      <c r="N76" s="96">
        <v>-182.71488063266861</v>
      </c>
      <c r="O76" s="109">
        <v>-2775.7111653558586</v>
      </c>
    </row>
    <row r="77" spans="1:15" x14ac:dyDescent="0.2">
      <c r="A77" s="234"/>
      <c r="B77" s="107" t="s">
        <v>26</v>
      </c>
      <c r="C77" s="108">
        <v>-6.4509631093967581</v>
      </c>
      <c r="D77" s="96">
        <v>-8.249789361055468</v>
      </c>
      <c r="E77" s="96">
        <v>-5.3964787549761342</v>
      </c>
      <c r="F77" s="96">
        <v>-4.7761938406110609</v>
      </c>
      <c r="G77" s="96">
        <v>-6.4509631093967581</v>
      </c>
      <c r="H77" s="96">
        <v>-8.9321027668570494</v>
      </c>
      <c r="I77" s="96">
        <v>-9.9865871212776725</v>
      </c>
      <c r="J77" s="96">
        <v>-10.110644104150687</v>
      </c>
      <c r="K77" s="96">
        <v>-9.4903591897856145</v>
      </c>
      <c r="L77" s="96">
        <v>-7.2573334980713522</v>
      </c>
      <c r="M77" s="96">
        <v>-5.6445927207221631</v>
      </c>
      <c r="N77" s="96">
        <v>-5.8306781950316848</v>
      </c>
      <c r="O77" s="109">
        <v>-88.576685771332393</v>
      </c>
    </row>
    <row r="78" spans="1:15" x14ac:dyDescent="0.2">
      <c r="A78" s="234"/>
      <c r="B78" s="107" t="s">
        <v>27</v>
      </c>
      <c r="C78" s="108">
        <v>-208.60359700085985</v>
      </c>
      <c r="D78" s="96">
        <v>-266.77190770302263</v>
      </c>
      <c r="E78" s="96">
        <v>-174.50493210648855</v>
      </c>
      <c r="F78" s="96">
        <v>-154.44689393332888</v>
      </c>
      <c r="G78" s="96">
        <v>-208.60359700085985</v>
      </c>
      <c r="H78" s="96">
        <v>-288.8357496934982</v>
      </c>
      <c r="I78" s="96">
        <v>-322.93441458786958</v>
      </c>
      <c r="J78" s="96">
        <v>-326.94602222250143</v>
      </c>
      <c r="K78" s="96">
        <v>-306.88798404934187</v>
      </c>
      <c r="L78" s="96">
        <v>-234.67904662596729</v>
      </c>
      <c r="M78" s="96">
        <v>-182.52814737575241</v>
      </c>
      <c r="N78" s="96">
        <v>-188.54555882770029</v>
      </c>
      <c r="O78" s="109">
        <v>-2864.2878511271906</v>
      </c>
    </row>
    <row r="79" spans="1:15" x14ac:dyDescent="0.2">
      <c r="A79" s="234"/>
      <c r="B79" s="107" t="s">
        <v>48</v>
      </c>
      <c r="C79" s="108">
        <v>733.81466116811066</v>
      </c>
      <c r="D79" s="96">
        <v>938.43605707075687</v>
      </c>
      <c r="E79" s="96">
        <v>613.86418770793875</v>
      </c>
      <c r="F79" s="96">
        <v>543.30508567254344</v>
      </c>
      <c r="G79" s="96">
        <v>733.81466116811066</v>
      </c>
      <c r="H79" s="96">
        <v>1016.0510693096917</v>
      </c>
      <c r="I79" s="96">
        <v>1136.0015427698636</v>
      </c>
      <c r="J79" s="96">
        <v>1150.1133631769426</v>
      </c>
      <c r="K79" s="96">
        <v>1079.5542611415474</v>
      </c>
      <c r="L79" s="96">
        <v>825.54149381412446</v>
      </c>
      <c r="M79" s="96">
        <v>642.08782852209686</v>
      </c>
      <c r="N79" s="96">
        <v>663.25555913271546</v>
      </c>
      <c r="O79" s="109">
        <v>10075.839770654442</v>
      </c>
    </row>
    <row r="80" spans="1:15" x14ac:dyDescent="0.2">
      <c r="A80" s="234"/>
      <c r="B80" s="107" t="s">
        <v>86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34"/>
      <c r="B81" s="107" t="s">
        <v>88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54</v>
      </c>
      <c r="B82" s="97" t="s">
        <v>69</v>
      </c>
      <c r="C82" s="104">
        <v>56.233483654260802</v>
      </c>
      <c r="D82" s="105">
        <v>40.897079021280582</v>
      </c>
      <c r="E82" s="105">
        <v>35.784944143620507</v>
      </c>
      <c r="F82" s="105">
        <v>61.345618531920877</v>
      </c>
      <c r="G82" s="105">
        <v>56.233483654260802</v>
      </c>
      <c r="H82" s="105">
        <v>66.457753409580945</v>
      </c>
      <c r="I82" s="105">
        <v>66.457753409580945</v>
      </c>
      <c r="J82" s="105">
        <v>61.345618531920877</v>
      </c>
      <c r="K82" s="105">
        <v>66.457753409580945</v>
      </c>
      <c r="L82" s="105">
        <v>40.897079021280582</v>
      </c>
      <c r="M82" s="105">
        <v>40.897079021280582</v>
      </c>
      <c r="N82" s="105">
        <v>56.233483654260802</v>
      </c>
      <c r="O82" s="106">
        <v>649.24112946282924</v>
      </c>
    </row>
    <row r="83" spans="1:15" x14ac:dyDescent="0.2">
      <c r="A83" s="234"/>
      <c r="B83" s="107" t="s">
        <v>25</v>
      </c>
      <c r="C83" s="108">
        <v>-21.38152858467398</v>
      </c>
      <c r="D83" s="96">
        <v>-15.550202607035622</v>
      </c>
      <c r="E83" s="96">
        <v>-13.606427281156172</v>
      </c>
      <c r="F83" s="96">
        <v>-23.32530391055343</v>
      </c>
      <c r="G83" s="96">
        <v>-21.38152858467398</v>
      </c>
      <c r="H83" s="96">
        <v>-25.269079236432887</v>
      </c>
      <c r="I83" s="96">
        <v>-25.269079236432887</v>
      </c>
      <c r="J83" s="96">
        <v>-23.32530391055343</v>
      </c>
      <c r="K83" s="96">
        <v>-25.269079236432887</v>
      </c>
      <c r="L83" s="96">
        <v>-15.550202607035622</v>
      </c>
      <c r="M83" s="96">
        <v>-15.550202607035622</v>
      </c>
      <c r="N83" s="96">
        <v>-21.38152858467398</v>
      </c>
      <c r="O83" s="109">
        <v>-246.85946638669051</v>
      </c>
    </row>
    <row r="84" spans="1:15" x14ac:dyDescent="0.2">
      <c r="A84" s="234"/>
      <c r="B84" s="107" t="s">
        <v>26</v>
      </c>
      <c r="C84" s="108">
        <v>-0.68231340580158018</v>
      </c>
      <c r="D84" s="96">
        <v>-0.49622793149205824</v>
      </c>
      <c r="E84" s="96">
        <v>-0.434199440055551</v>
      </c>
      <c r="F84" s="96">
        <v>-0.74434189723808741</v>
      </c>
      <c r="G84" s="96">
        <v>-0.68231340580158018</v>
      </c>
      <c r="H84" s="96">
        <v>-0.80637038867459476</v>
      </c>
      <c r="I84" s="96">
        <v>-0.80637038867459476</v>
      </c>
      <c r="J84" s="96">
        <v>-0.74434189723808741</v>
      </c>
      <c r="K84" s="96">
        <v>-0.80637038867459476</v>
      </c>
      <c r="L84" s="96">
        <v>-0.49622793149205824</v>
      </c>
      <c r="M84" s="96">
        <v>-0.49622793149205824</v>
      </c>
      <c r="N84" s="96">
        <v>-0.68231340580158018</v>
      </c>
      <c r="O84" s="109">
        <v>-7.8776184124364255</v>
      </c>
    </row>
    <row r="85" spans="1:15" x14ac:dyDescent="0.2">
      <c r="A85" s="234"/>
      <c r="B85" s="107" t="s">
        <v>27</v>
      </c>
      <c r="C85" s="108">
        <v>-22.063841990475559</v>
      </c>
      <c r="D85" s="96">
        <v>-16.04643053852768</v>
      </c>
      <c r="E85" s="96">
        <v>-14.040626721211723</v>
      </c>
      <c r="F85" s="96">
        <v>-24.069645807791517</v>
      </c>
      <c r="G85" s="96">
        <v>-22.063841990475559</v>
      </c>
      <c r="H85" s="96">
        <v>-26.075449625107481</v>
      </c>
      <c r="I85" s="96">
        <v>-26.075449625107481</v>
      </c>
      <c r="J85" s="96">
        <v>-24.069645807791517</v>
      </c>
      <c r="K85" s="96">
        <v>-26.075449625107481</v>
      </c>
      <c r="L85" s="96">
        <v>-16.04643053852768</v>
      </c>
      <c r="M85" s="96">
        <v>-16.04643053852768</v>
      </c>
      <c r="N85" s="96">
        <v>-22.063841990475559</v>
      </c>
      <c r="O85" s="109">
        <v>-254.73708479912693</v>
      </c>
    </row>
    <row r="86" spans="1:15" x14ac:dyDescent="0.2">
      <c r="A86" s="234"/>
      <c r="B86" s="107" t="s">
        <v>48</v>
      </c>
      <c r="C86" s="108">
        <v>77.615012238934781</v>
      </c>
      <c r="D86" s="96">
        <v>56.447281628316205</v>
      </c>
      <c r="E86" s="96">
        <v>49.391371424776679</v>
      </c>
      <c r="F86" s="96">
        <v>84.670922442474307</v>
      </c>
      <c r="G86" s="96">
        <v>77.615012238934781</v>
      </c>
      <c r="H86" s="96">
        <v>91.726832646013833</v>
      </c>
      <c r="I86" s="96">
        <v>91.726832646013833</v>
      </c>
      <c r="J86" s="96">
        <v>84.670922442474307</v>
      </c>
      <c r="K86" s="96">
        <v>91.726832646013833</v>
      </c>
      <c r="L86" s="96">
        <v>56.447281628316205</v>
      </c>
      <c r="M86" s="96">
        <v>56.447281628316205</v>
      </c>
      <c r="N86" s="96">
        <v>77.615012238934781</v>
      </c>
      <c r="O86" s="109">
        <v>896.10059584951966</v>
      </c>
    </row>
    <row r="87" spans="1:15" x14ac:dyDescent="0.2">
      <c r="A87" s="234"/>
      <c r="B87" s="107" t="s">
        <v>86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34"/>
      <c r="B88" s="107" t="s">
        <v>88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55</v>
      </c>
      <c r="B89" s="97" t="s">
        <v>69</v>
      </c>
      <c r="C89" s="104">
        <v>102.24269755320145</v>
      </c>
      <c r="D89" s="105">
        <v>117.57910218618167</v>
      </c>
      <c r="E89" s="105">
        <v>81.794158042561165</v>
      </c>
      <c r="F89" s="105">
        <v>102.24269755320145</v>
      </c>
      <c r="G89" s="105">
        <v>138.02764169682197</v>
      </c>
      <c r="H89" s="105">
        <v>163.58831608512233</v>
      </c>
      <c r="I89" s="105">
        <v>189.14899047342269</v>
      </c>
      <c r="J89" s="105">
        <v>168.70045096278241</v>
      </c>
      <c r="K89" s="105">
        <v>189.14899047342269</v>
      </c>
      <c r="L89" s="105">
        <v>138.02764169682197</v>
      </c>
      <c r="M89" s="105">
        <v>81.794158042561165</v>
      </c>
      <c r="N89" s="105">
        <v>97.130562675541384</v>
      </c>
      <c r="O89" s="106">
        <v>1569.4254074416422</v>
      </c>
    </row>
    <row r="90" spans="1:15" x14ac:dyDescent="0.2">
      <c r="A90" s="234"/>
      <c r="B90" s="107" t="s">
        <v>25</v>
      </c>
      <c r="C90" s="108">
        <v>-38.875506517589059</v>
      </c>
      <c r="D90" s="96">
        <v>-44.706832495227417</v>
      </c>
      <c r="E90" s="96">
        <v>-31.100405214071245</v>
      </c>
      <c r="F90" s="96">
        <v>-38.875506517589059</v>
      </c>
      <c r="G90" s="96">
        <v>-52.481933798745217</v>
      </c>
      <c r="H90" s="96">
        <v>-62.200810428142489</v>
      </c>
      <c r="I90" s="96">
        <v>-71.919687057539733</v>
      </c>
      <c r="J90" s="96">
        <v>-64.144585754021932</v>
      </c>
      <c r="K90" s="96">
        <v>-71.919687057539733</v>
      </c>
      <c r="L90" s="96">
        <v>-52.481933798745217</v>
      </c>
      <c r="M90" s="96">
        <v>-31.100405214071245</v>
      </c>
      <c r="N90" s="96">
        <v>-36.931731191709602</v>
      </c>
      <c r="O90" s="109">
        <v>-596.73902504499176</v>
      </c>
    </row>
    <row r="91" spans="1:15" x14ac:dyDescent="0.2">
      <c r="A91" s="234"/>
      <c r="B91" s="107" t="s">
        <v>26</v>
      </c>
      <c r="C91" s="108">
        <v>-1.2405698287301457</v>
      </c>
      <c r="D91" s="96">
        <v>-1.4266553030396676</v>
      </c>
      <c r="E91" s="96">
        <v>-0.99245586298411648</v>
      </c>
      <c r="F91" s="96">
        <v>-1.2405698287301457</v>
      </c>
      <c r="G91" s="96">
        <v>-1.6747692687856968</v>
      </c>
      <c r="H91" s="96">
        <v>-1.984911725968233</v>
      </c>
      <c r="I91" s="96">
        <v>-2.2950541831507696</v>
      </c>
      <c r="J91" s="96">
        <v>-2.0469402174047402</v>
      </c>
      <c r="K91" s="96">
        <v>-2.2950541831507696</v>
      </c>
      <c r="L91" s="96">
        <v>-1.6747692687856968</v>
      </c>
      <c r="M91" s="96">
        <v>-0.99245586298411648</v>
      </c>
      <c r="N91" s="96">
        <v>-1.1785413372936384</v>
      </c>
      <c r="O91" s="109">
        <v>-19.042746871007736</v>
      </c>
    </row>
    <row r="92" spans="1:15" x14ac:dyDescent="0.2">
      <c r="A92" s="234"/>
      <c r="B92" s="107" t="s">
        <v>27</v>
      </c>
      <c r="C92" s="108">
        <v>-40.116076346319204</v>
      </c>
      <c r="D92" s="96">
        <v>-46.133487798267083</v>
      </c>
      <c r="E92" s="96">
        <v>-32.09286107705536</v>
      </c>
      <c r="F92" s="96">
        <v>-40.116076346319204</v>
      </c>
      <c r="G92" s="96">
        <v>-54.156703067530913</v>
      </c>
      <c r="H92" s="96">
        <v>-64.185722154110721</v>
      </c>
      <c r="I92" s="96">
        <v>-74.2147412406905</v>
      </c>
      <c r="J92" s="96">
        <v>-66.191525971426671</v>
      </c>
      <c r="K92" s="96">
        <v>-74.2147412406905</v>
      </c>
      <c r="L92" s="96">
        <v>-54.156703067530913</v>
      </c>
      <c r="M92" s="96">
        <v>-32.09286107705536</v>
      </c>
      <c r="N92" s="96">
        <v>-38.11027252900324</v>
      </c>
      <c r="O92" s="109">
        <v>-615.78177191599968</v>
      </c>
    </row>
    <row r="93" spans="1:15" x14ac:dyDescent="0.2">
      <c r="A93" s="234"/>
      <c r="B93" s="107" t="s">
        <v>48</v>
      </c>
      <c r="C93" s="108">
        <v>141.11820407079051</v>
      </c>
      <c r="D93" s="96">
        <v>162.28593468140909</v>
      </c>
      <c r="E93" s="96">
        <v>112.89456325663241</v>
      </c>
      <c r="F93" s="96">
        <v>141.11820407079051</v>
      </c>
      <c r="G93" s="96">
        <v>190.50957549556719</v>
      </c>
      <c r="H93" s="96">
        <v>225.78912651326482</v>
      </c>
      <c r="I93" s="96">
        <v>261.06867753096242</v>
      </c>
      <c r="J93" s="96">
        <v>232.84503671680434</v>
      </c>
      <c r="K93" s="96">
        <v>261.06867753096242</v>
      </c>
      <c r="L93" s="96">
        <v>190.50957549556719</v>
      </c>
      <c r="M93" s="96">
        <v>112.89456325663241</v>
      </c>
      <c r="N93" s="96">
        <v>134.06229386725099</v>
      </c>
      <c r="O93" s="109">
        <v>2166.1644324866343</v>
      </c>
    </row>
    <row r="94" spans="1:15" x14ac:dyDescent="0.2">
      <c r="A94" s="234"/>
      <c r="B94" s="107" t="s">
        <v>86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34"/>
      <c r="B95" s="107" t="s">
        <v>88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56</v>
      </c>
      <c r="B96" s="97" t="s">
        <v>69</v>
      </c>
      <c r="C96" s="104">
        <v>178.92472071810255</v>
      </c>
      <c r="D96" s="105">
        <v>168.70045096278241</v>
      </c>
      <c r="E96" s="105">
        <v>153.36404632980219</v>
      </c>
      <c r="F96" s="105">
        <v>163.58831608512233</v>
      </c>
      <c r="G96" s="105">
        <v>204.4853951064029</v>
      </c>
      <c r="H96" s="105">
        <v>235.15820437236334</v>
      </c>
      <c r="I96" s="105">
        <v>245.38247412768351</v>
      </c>
      <c r="J96" s="105">
        <v>255.60674388300365</v>
      </c>
      <c r="K96" s="105">
        <v>265.83101363832378</v>
      </c>
      <c r="L96" s="105">
        <v>204.4853951064029</v>
      </c>
      <c r="M96" s="105">
        <v>163.58831608512233</v>
      </c>
      <c r="N96" s="105">
        <v>178.92472071810255</v>
      </c>
      <c r="O96" s="106">
        <v>2418.0397971332145</v>
      </c>
    </row>
    <row r="97" spans="1:15" x14ac:dyDescent="0.2">
      <c r="A97" s="234"/>
      <c r="B97" s="107" t="s">
        <v>25</v>
      </c>
      <c r="C97" s="108">
        <v>-68.032136405780847</v>
      </c>
      <c r="D97" s="96">
        <v>-64.144585754021932</v>
      </c>
      <c r="E97" s="96">
        <v>-58.313259776383575</v>
      </c>
      <c r="F97" s="96">
        <v>-62.200810428142489</v>
      </c>
      <c r="G97" s="96">
        <v>-77.751013035178119</v>
      </c>
      <c r="H97" s="96">
        <v>-89.413664990454834</v>
      </c>
      <c r="I97" s="96">
        <v>-93.30121564221372</v>
      </c>
      <c r="J97" s="96">
        <v>-97.188766293972634</v>
      </c>
      <c r="K97" s="96">
        <v>-101.07631694573155</v>
      </c>
      <c r="L97" s="96">
        <v>-77.751013035178119</v>
      </c>
      <c r="M97" s="96">
        <v>-62.200810428142489</v>
      </c>
      <c r="N97" s="96">
        <v>-68.032136405780847</v>
      </c>
      <c r="O97" s="109">
        <v>-919.40572914098118</v>
      </c>
    </row>
    <row r="98" spans="1:15" x14ac:dyDescent="0.2">
      <c r="A98" s="234"/>
      <c r="B98" s="107" t="s">
        <v>26</v>
      </c>
      <c r="C98" s="108">
        <v>-2.1709972002777551</v>
      </c>
      <c r="D98" s="96">
        <v>-2.0469402174047402</v>
      </c>
      <c r="E98" s="96">
        <v>-1.8608547430952185</v>
      </c>
      <c r="F98" s="96">
        <v>-1.984911725968233</v>
      </c>
      <c r="G98" s="96">
        <v>-2.4811396574602913</v>
      </c>
      <c r="H98" s="96">
        <v>-2.8533106060793352</v>
      </c>
      <c r="I98" s="96">
        <v>-2.9773675889523497</v>
      </c>
      <c r="J98" s="96">
        <v>-3.1014245718253646</v>
      </c>
      <c r="K98" s="96">
        <v>-3.225481554698379</v>
      </c>
      <c r="L98" s="96">
        <v>-2.4811396574602913</v>
      </c>
      <c r="M98" s="96">
        <v>-1.984911725968233</v>
      </c>
      <c r="N98" s="96">
        <v>-2.1709972002777551</v>
      </c>
      <c r="O98" s="109">
        <v>-29.339476449467945</v>
      </c>
    </row>
    <row r="99" spans="1:15" x14ac:dyDescent="0.2">
      <c r="A99" s="234"/>
      <c r="B99" s="107" t="s">
        <v>27</v>
      </c>
      <c r="C99" s="108">
        <v>-70.2031336060586</v>
      </c>
      <c r="D99" s="96">
        <v>-66.191525971426671</v>
      </c>
      <c r="E99" s="96">
        <v>-60.174114519478792</v>
      </c>
      <c r="F99" s="96">
        <v>-64.185722154110721</v>
      </c>
      <c r="G99" s="96">
        <v>-80.232152692638408</v>
      </c>
      <c r="H99" s="96">
        <v>-92.266975596534166</v>
      </c>
      <c r="I99" s="96">
        <v>-96.278583231166067</v>
      </c>
      <c r="J99" s="96">
        <v>-100.290190865798</v>
      </c>
      <c r="K99" s="96">
        <v>-104.30179850042992</v>
      </c>
      <c r="L99" s="96">
        <v>-80.232152692638408</v>
      </c>
      <c r="M99" s="96">
        <v>-64.185722154110721</v>
      </c>
      <c r="N99" s="96">
        <v>-70.2031336060586</v>
      </c>
      <c r="O99" s="109">
        <v>-948.74520559044902</v>
      </c>
    </row>
    <row r="100" spans="1:15" x14ac:dyDescent="0.2">
      <c r="A100" s="234"/>
      <c r="B100" s="107" t="s">
        <v>48</v>
      </c>
      <c r="C100" s="108">
        <v>246.9568571238834</v>
      </c>
      <c r="D100" s="96">
        <v>232.84503671680434</v>
      </c>
      <c r="E100" s="96">
        <v>211.67730610618577</v>
      </c>
      <c r="F100" s="96">
        <v>225.78912651326482</v>
      </c>
      <c r="G100" s="96">
        <v>282.23640814158102</v>
      </c>
      <c r="H100" s="96">
        <v>324.57186936281818</v>
      </c>
      <c r="I100" s="96">
        <v>338.68368976989723</v>
      </c>
      <c r="J100" s="96">
        <v>352.79551017697628</v>
      </c>
      <c r="K100" s="96">
        <v>366.90733058405533</v>
      </c>
      <c r="L100" s="96">
        <v>282.23640814158102</v>
      </c>
      <c r="M100" s="96">
        <v>225.78912651326482</v>
      </c>
      <c r="N100" s="96">
        <v>246.9568571238834</v>
      </c>
      <c r="O100" s="109">
        <v>3337.4455262741958</v>
      </c>
    </row>
    <row r="101" spans="1:15" x14ac:dyDescent="0.2">
      <c r="A101" s="234"/>
      <c r="B101" s="107" t="s">
        <v>86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34"/>
      <c r="B102" s="107" t="s">
        <v>88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80</v>
      </c>
      <c r="B103" s="97" t="s">
        <v>69</v>
      </c>
      <c r="C103" s="104">
        <v>746.37169213837058</v>
      </c>
      <c r="D103" s="105">
        <v>1083.7725940639355</v>
      </c>
      <c r="E103" s="105">
        <v>639.01685970750907</v>
      </c>
      <c r="F103" s="105">
        <v>470.31640874472669</v>
      </c>
      <c r="G103" s="105">
        <v>521.4377575213274</v>
      </c>
      <c r="H103" s="105">
        <v>633.90472482984899</v>
      </c>
      <c r="I103" s="105">
        <v>705.47461311709003</v>
      </c>
      <c r="J103" s="105">
        <v>715.69888287241019</v>
      </c>
      <c r="K103" s="105">
        <v>715.69888287241019</v>
      </c>
      <c r="L103" s="105">
        <v>541.88629703196773</v>
      </c>
      <c r="M103" s="105">
        <v>546.99843190962781</v>
      </c>
      <c r="N103" s="105">
        <v>562.33483654260806</v>
      </c>
      <c r="O103" s="106">
        <v>7882.9119813518319</v>
      </c>
    </row>
    <row r="104" spans="1:15" x14ac:dyDescent="0.2">
      <c r="A104" s="234"/>
      <c r="B104" s="107" t="s">
        <v>25</v>
      </c>
      <c r="C104" s="108">
        <v>-283.7911975784001</v>
      </c>
      <c r="D104" s="96">
        <v>-412.08036908644385</v>
      </c>
      <c r="E104" s="96">
        <v>-242.9719157349316</v>
      </c>
      <c r="F104" s="96">
        <v>-178.82732998090967</v>
      </c>
      <c r="G104" s="96">
        <v>-198.26508323970427</v>
      </c>
      <c r="H104" s="96">
        <v>-241.02814040905218</v>
      </c>
      <c r="I104" s="96">
        <v>-268.24099497136444</v>
      </c>
      <c r="J104" s="96">
        <v>-272.12854562312339</v>
      </c>
      <c r="K104" s="96">
        <v>-272.12854562312339</v>
      </c>
      <c r="L104" s="96">
        <v>-206.04018454322193</v>
      </c>
      <c r="M104" s="96">
        <v>-207.98395986910145</v>
      </c>
      <c r="N104" s="96">
        <v>-213.81528584673981</v>
      </c>
      <c r="O104" s="109">
        <v>-2997.3015525061164</v>
      </c>
    </row>
    <row r="105" spans="1:15" x14ac:dyDescent="0.2">
      <c r="A105" s="234"/>
      <c r="B105" s="107" t="s">
        <v>26</v>
      </c>
      <c r="C105" s="108">
        <v>-9.0561597497300639</v>
      </c>
      <c r="D105" s="96">
        <v>-13.150040184539545</v>
      </c>
      <c r="E105" s="96">
        <v>-7.7535614295634101</v>
      </c>
      <c r="F105" s="96">
        <v>-5.7066212121586704</v>
      </c>
      <c r="G105" s="96">
        <v>-6.3269061265237436</v>
      </c>
      <c r="H105" s="96">
        <v>-7.6915329381269029</v>
      </c>
      <c r="I105" s="96">
        <v>-8.559931818238006</v>
      </c>
      <c r="J105" s="96">
        <v>-8.6839888011110205</v>
      </c>
      <c r="K105" s="96">
        <v>-8.6839888011110205</v>
      </c>
      <c r="L105" s="96">
        <v>-6.5750200922697726</v>
      </c>
      <c r="M105" s="96">
        <v>-6.6370485837062798</v>
      </c>
      <c r="N105" s="96">
        <v>-6.8231340580158015</v>
      </c>
      <c r="O105" s="109">
        <v>-95.647933795094218</v>
      </c>
    </row>
    <row r="106" spans="1:15" x14ac:dyDescent="0.2">
      <c r="A106" s="234"/>
      <c r="B106" s="107" t="s">
        <v>27</v>
      </c>
      <c r="C106" s="108">
        <v>-292.84735732813016</v>
      </c>
      <c r="D106" s="96">
        <v>-425.23040927098339</v>
      </c>
      <c r="E106" s="96">
        <v>-250.725477164495</v>
      </c>
      <c r="F106" s="96">
        <v>-184.53395119306833</v>
      </c>
      <c r="G106" s="96">
        <v>-204.59198936622801</v>
      </c>
      <c r="H106" s="96">
        <v>-248.71967334717908</v>
      </c>
      <c r="I106" s="96">
        <v>-276.80092678960244</v>
      </c>
      <c r="J106" s="96">
        <v>-280.8125344242344</v>
      </c>
      <c r="K106" s="96">
        <v>-280.8125344242344</v>
      </c>
      <c r="L106" s="96">
        <v>-212.61520463549169</v>
      </c>
      <c r="M106" s="96">
        <v>-214.62100845280773</v>
      </c>
      <c r="N106" s="96">
        <v>-220.63841990475561</v>
      </c>
      <c r="O106" s="109">
        <v>-3092.9494863012105</v>
      </c>
    </row>
    <row r="107" spans="1:15" x14ac:dyDescent="0.2">
      <c r="A107" s="234"/>
      <c r="B107" s="107" t="s">
        <v>48</v>
      </c>
      <c r="C107" s="108">
        <v>1030.1628897167707</v>
      </c>
      <c r="D107" s="96">
        <v>1495.8529631503793</v>
      </c>
      <c r="E107" s="96">
        <v>881.98877544244067</v>
      </c>
      <c r="F107" s="96">
        <v>649.14373872563635</v>
      </c>
      <c r="G107" s="96">
        <v>719.70284076103167</v>
      </c>
      <c r="H107" s="96">
        <v>874.93286523890117</v>
      </c>
      <c r="I107" s="96">
        <v>973.71560808845447</v>
      </c>
      <c r="J107" s="96">
        <v>987.82742849553358</v>
      </c>
      <c r="K107" s="96">
        <v>987.82742849553358</v>
      </c>
      <c r="L107" s="96">
        <v>747.92648157518965</v>
      </c>
      <c r="M107" s="96">
        <v>754.98239177872927</v>
      </c>
      <c r="N107" s="96">
        <v>776.15012238934787</v>
      </c>
      <c r="O107" s="109">
        <v>10880.213533857948</v>
      </c>
    </row>
    <row r="108" spans="1:15" x14ac:dyDescent="0.2">
      <c r="A108" s="234"/>
      <c r="B108" s="107" t="s">
        <v>86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34"/>
      <c r="B109" s="107" t="s">
        <v>88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82</v>
      </c>
      <c r="B110" s="97" t="s">
        <v>69</v>
      </c>
      <c r="C110" s="104">
        <v>194.26112535108277</v>
      </c>
      <c r="D110" s="105">
        <v>306.72809265960439</v>
      </c>
      <c r="E110" s="105">
        <v>158.47618120746225</v>
      </c>
      <c r="F110" s="105">
        <v>102.24269755320145</v>
      </c>
      <c r="G110" s="105">
        <v>143.13977657448203</v>
      </c>
      <c r="H110" s="105">
        <v>230.04606949470329</v>
      </c>
      <c r="I110" s="105">
        <v>270.94314851598386</v>
      </c>
      <c r="J110" s="105">
        <v>255.60674388300365</v>
      </c>
      <c r="K110" s="105">
        <v>250.49460900534356</v>
      </c>
      <c r="L110" s="105">
        <v>194.26112535108277</v>
      </c>
      <c r="M110" s="105">
        <v>163.58831608512233</v>
      </c>
      <c r="N110" s="105">
        <v>158.47618120746225</v>
      </c>
      <c r="O110" s="106">
        <v>2428.2640668885342</v>
      </c>
    </row>
    <row r="111" spans="1:15" x14ac:dyDescent="0.2">
      <c r="A111" s="234"/>
      <c r="B111" s="107" t="s">
        <v>25</v>
      </c>
      <c r="C111" s="108">
        <v>-73.863462383419204</v>
      </c>
      <c r="D111" s="96">
        <v>-116.62651955276715</v>
      </c>
      <c r="E111" s="96">
        <v>-60.257035102263046</v>
      </c>
      <c r="F111" s="96">
        <v>-38.875506517589059</v>
      </c>
      <c r="G111" s="96">
        <v>-54.425709124624689</v>
      </c>
      <c r="H111" s="96">
        <v>-87.469889664575334</v>
      </c>
      <c r="I111" s="96">
        <v>-103.02009227161096</v>
      </c>
      <c r="J111" s="96">
        <v>-97.188766293972634</v>
      </c>
      <c r="K111" s="96">
        <v>-95.244990968093163</v>
      </c>
      <c r="L111" s="96">
        <v>-73.863462383419204</v>
      </c>
      <c r="M111" s="96">
        <v>-62.200810428142489</v>
      </c>
      <c r="N111" s="96">
        <v>-60.257035102263046</v>
      </c>
      <c r="O111" s="109">
        <v>-923.29327979274012</v>
      </c>
    </row>
    <row r="112" spans="1:15" x14ac:dyDescent="0.2">
      <c r="A112" s="234"/>
      <c r="B112" s="107" t="s">
        <v>26</v>
      </c>
      <c r="C112" s="108">
        <v>-2.3570826745872768</v>
      </c>
      <c r="D112" s="96">
        <v>-3.721709486190437</v>
      </c>
      <c r="E112" s="96">
        <v>-1.9228832345317257</v>
      </c>
      <c r="F112" s="96">
        <v>-1.2405698287301457</v>
      </c>
      <c r="G112" s="96">
        <v>-1.736797760222204</v>
      </c>
      <c r="H112" s="96">
        <v>-2.7912821146428279</v>
      </c>
      <c r="I112" s="96">
        <v>-3.2875100461348863</v>
      </c>
      <c r="J112" s="96">
        <v>-3.1014245718253646</v>
      </c>
      <c r="K112" s="96">
        <v>-3.0393960803888573</v>
      </c>
      <c r="L112" s="96">
        <v>-2.3570826745872768</v>
      </c>
      <c r="M112" s="96">
        <v>-1.984911725968233</v>
      </c>
      <c r="N112" s="96">
        <v>-1.9228832345317257</v>
      </c>
      <c r="O112" s="109">
        <v>-29.463533432340959</v>
      </c>
    </row>
    <row r="113" spans="1:15" x14ac:dyDescent="0.2">
      <c r="A113" s="234"/>
      <c r="B113" s="107" t="s">
        <v>27</v>
      </c>
      <c r="C113" s="108">
        <v>-76.220545058006479</v>
      </c>
      <c r="D113" s="96">
        <v>-120.34822903895758</v>
      </c>
      <c r="E113" s="96">
        <v>-62.179918336794771</v>
      </c>
      <c r="F113" s="96">
        <v>-40.116076346319204</v>
      </c>
      <c r="G113" s="96">
        <v>-56.162506884846891</v>
      </c>
      <c r="H113" s="96">
        <v>-90.261171779218159</v>
      </c>
      <c r="I113" s="96">
        <v>-106.30760231774585</v>
      </c>
      <c r="J113" s="96">
        <v>-100.290190865798</v>
      </c>
      <c r="K113" s="96">
        <v>-98.284387048482017</v>
      </c>
      <c r="L113" s="96">
        <v>-76.220545058006479</v>
      </c>
      <c r="M113" s="96">
        <v>-64.185722154110721</v>
      </c>
      <c r="N113" s="96">
        <v>-62.179918336794771</v>
      </c>
      <c r="O113" s="109">
        <v>-952.75681322508092</v>
      </c>
    </row>
    <row r="114" spans="1:15" x14ac:dyDescent="0.2">
      <c r="A114" s="234"/>
      <c r="B114" s="107" t="s">
        <v>48</v>
      </c>
      <c r="C114" s="108">
        <v>268.12458773450197</v>
      </c>
      <c r="D114" s="96">
        <v>423.35461221237153</v>
      </c>
      <c r="E114" s="96">
        <v>218.73321630972529</v>
      </c>
      <c r="F114" s="96">
        <v>141.11820407079051</v>
      </c>
      <c r="G114" s="96">
        <v>197.56548569910672</v>
      </c>
      <c r="H114" s="96">
        <v>317.51595915927862</v>
      </c>
      <c r="I114" s="96">
        <v>373.96324078759483</v>
      </c>
      <c r="J114" s="96">
        <v>352.79551017697628</v>
      </c>
      <c r="K114" s="96">
        <v>345.73959997343673</v>
      </c>
      <c r="L114" s="96">
        <v>268.12458773450197</v>
      </c>
      <c r="M114" s="96">
        <v>225.78912651326482</v>
      </c>
      <c r="N114" s="96">
        <v>218.73321630972529</v>
      </c>
      <c r="O114" s="109">
        <v>3351.5573466812743</v>
      </c>
    </row>
    <row r="115" spans="1:15" x14ac:dyDescent="0.2">
      <c r="A115" s="234"/>
      <c r="B115" s="107" t="s">
        <v>86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34"/>
      <c r="B116" s="107" t="s">
        <v>88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70</v>
      </c>
      <c r="B117" s="98"/>
      <c r="C117" s="104">
        <v>39164.065297753805</v>
      </c>
      <c r="D117" s="105">
        <v>47409.93885541951</v>
      </c>
      <c r="E117" s="105">
        <v>33152.194681625573</v>
      </c>
      <c r="F117" s="105">
        <v>30918.191740088114</v>
      </c>
      <c r="G117" s="105">
        <v>38882.897879482509</v>
      </c>
      <c r="H117" s="105">
        <v>49224.74673698884</v>
      </c>
      <c r="I117" s="105">
        <v>51699.020017776318</v>
      </c>
      <c r="J117" s="105">
        <v>52082.430133600828</v>
      </c>
      <c r="K117" s="105">
        <v>51903.505412882725</v>
      </c>
      <c r="L117" s="105">
        <v>40472.771826434786</v>
      </c>
      <c r="M117" s="105">
        <v>33055.064118950038</v>
      </c>
      <c r="N117" s="105">
        <v>34614.265256636354</v>
      </c>
      <c r="O117" s="106">
        <v>502579.0919576395</v>
      </c>
    </row>
    <row r="118" spans="1:15" x14ac:dyDescent="0.2">
      <c r="A118" s="97" t="s">
        <v>28</v>
      </c>
      <c r="B118" s="98"/>
      <c r="C118" s="247">
        <v>-14891.262771562488</v>
      </c>
      <c r="D118" s="248">
        <v>-18026.572372206036</v>
      </c>
      <c r="E118" s="248">
        <v>-12605.382988328252</v>
      </c>
      <c r="F118" s="248">
        <v>-11755.953170918929</v>
      </c>
      <c r="G118" s="248">
        <v>-14784.355128639119</v>
      </c>
      <c r="H118" s="248">
        <v>-18716.612612893248</v>
      </c>
      <c r="I118" s="248">
        <v>-19657.399870618898</v>
      </c>
      <c r="J118" s="248">
        <v>-19803.183020059863</v>
      </c>
      <c r="K118" s="248">
        <v>-19735.150883654089</v>
      </c>
      <c r="L118" s="248">
        <v>-15388.869254987627</v>
      </c>
      <c r="M118" s="248">
        <v>-12568.451257136541</v>
      </c>
      <c r="N118" s="248">
        <v>-13161.302731529775</v>
      </c>
      <c r="O118" s="249">
        <v>-191094.49606253489</v>
      </c>
    </row>
    <row r="119" spans="1:15" x14ac:dyDescent="0.2">
      <c r="A119" s="97" t="s">
        <v>29</v>
      </c>
      <c r="B119" s="98"/>
      <c r="C119" s="247">
        <v>-475.20027289508238</v>
      </c>
      <c r="D119" s="248">
        <v>-575.25222958216864</v>
      </c>
      <c r="E119" s="248">
        <v>-402.25476696574987</v>
      </c>
      <c r="F119" s="248">
        <v>-375.14831620799612</v>
      </c>
      <c r="G119" s="248">
        <v>-471.78870586607445</v>
      </c>
      <c r="H119" s="248">
        <v>-597.27234404212879</v>
      </c>
      <c r="I119" s="248">
        <v>-627.2941338973983</v>
      </c>
      <c r="J119" s="248">
        <v>-631.94627075513631</v>
      </c>
      <c r="K119" s="248">
        <v>-629.77527355485859</v>
      </c>
      <c r="L119" s="248">
        <v>-491.07956670282829</v>
      </c>
      <c r="M119" s="248">
        <v>-401.07622562845614</v>
      </c>
      <c r="N119" s="248">
        <v>-419.99491551659099</v>
      </c>
      <c r="O119" s="249">
        <v>-6098.0830216144677</v>
      </c>
    </row>
    <row r="120" spans="1:15" x14ac:dyDescent="0.2">
      <c r="A120" s="97" t="s">
        <v>30</v>
      </c>
      <c r="B120" s="98"/>
      <c r="C120" s="247">
        <v>-15366.463044457571</v>
      </c>
      <c r="D120" s="248">
        <v>-18601.824601788212</v>
      </c>
      <c r="E120" s="248">
        <v>-13007.637755294003</v>
      </c>
      <c r="F120" s="248">
        <v>-12131.101487126927</v>
      </c>
      <c r="G120" s="248">
        <v>-15256.143834505194</v>
      </c>
      <c r="H120" s="248">
        <v>-19313.88495693537</v>
      </c>
      <c r="I120" s="248">
        <v>-20284.694004516303</v>
      </c>
      <c r="J120" s="248">
        <v>-20435.129290815003</v>
      </c>
      <c r="K120" s="248">
        <v>-20364.926157208949</v>
      </c>
      <c r="L120" s="248">
        <v>-15879.948821690456</v>
      </c>
      <c r="M120" s="248">
        <v>-12969.527482764999</v>
      </c>
      <c r="N120" s="248">
        <v>-13581.297647046369</v>
      </c>
      <c r="O120" s="249">
        <v>-197192.57908414933</v>
      </c>
    </row>
    <row r="121" spans="1:15" x14ac:dyDescent="0.2">
      <c r="A121" s="97" t="s">
        <v>60</v>
      </c>
      <c r="B121" s="98"/>
      <c r="C121" s="104">
        <v>54055.328069316303</v>
      </c>
      <c r="D121" s="105">
        <v>65436.511227625553</v>
      </c>
      <c r="E121" s="105">
        <v>45757.577669953818</v>
      </c>
      <c r="F121" s="105">
        <v>42674.144911007061</v>
      </c>
      <c r="G121" s="105">
        <v>53667.253008121639</v>
      </c>
      <c r="H121" s="105">
        <v>67941.359349882085</v>
      </c>
      <c r="I121" s="105">
        <v>71356.419888395219</v>
      </c>
      <c r="J121" s="105">
        <v>71885.613153660699</v>
      </c>
      <c r="K121" s="105">
        <v>71638.656296536821</v>
      </c>
      <c r="L121" s="105">
        <v>55861.641081422415</v>
      </c>
      <c r="M121" s="105">
        <v>45623.515376086565</v>
      </c>
      <c r="N121" s="105">
        <v>47775.567988166142</v>
      </c>
      <c r="O121" s="106">
        <v>693673.58802017418</v>
      </c>
    </row>
    <row r="122" spans="1:15" x14ac:dyDescent="0.2">
      <c r="A122" s="97" t="s">
        <v>87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89</v>
      </c>
      <c r="B123" s="235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G7" sqref="G7:H7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2" customWidth="1"/>
    <col min="5" max="5" width="24.28515625" style="1" customWidth="1"/>
    <col min="6" max="6" width="7.7109375" style="162" customWidth="1"/>
    <col min="7" max="7" width="6.7109375" style="162" customWidth="1"/>
    <col min="8" max="8" width="11.140625" style="162" bestFit="1" customWidth="1"/>
    <col min="9" max="9" width="11.28515625" style="163" customWidth="1"/>
    <col min="10" max="10" width="14.85546875" style="162" bestFit="1" customWidth="1"/>
    <col min="11" max="11" width="14.85546875" style="164" bestFit="1" customWidth="1"/>
    <col min="12" max="12" width="14.7109375" style="162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33" customWidth="1"/>
    <col min="19" max="16384" width="8.7109375" style="1"/>
  </cols>
  <sheetData>
    <row r="1" spans="2:18" ht="22.5" x14ac:dyDescent="0.2">
      <c r="B1" s="10" t="s">
        <v>96</v>
      </c>
      <c r="C1" s="114"/>
      <c r="D1" s="115"/>
      <c r="E1" s="114"/>
      <c r="F1" s="116" t="s">
        <v>12</v>
      </c>
      <c r="G1" s="117"/>
      <c r="H1" s="118"/>
      <c r="I1" s="119"/>
      <c r="J1" s="238" t="str">
        <f>"True-Up ARR
(CY"&amp;R1&amp;")"</f>
        <v>True-Up ARR
(CY2021)</v>
      </c>
      <c r="K1" s="238" t="str">
        <f>"Projected ARR
(Jan'"&amp;RIGHT(R$1,2)&amp;" - Dec'"&amp;RIGHT(R$1,2)&amp;")"</f>
        <v>Projected ARR
(Jan'21 - Dec'21)</v>
      </c>
      <c r="L1" s="120" t="s">
        <v>44</v>
      </c>
      <c r="M1" s="121"/>
      <c r="N1" s="52"/>
      <c r="O1" s="52"/>
      <c r="P1" s="52"/>
      <c r="Q1" s="52"/>
      <c r="R1" s="122">
        <v>2021</v>
      </c>
    </row>
    <row r="2" spans="2:18" x14ac:dyDescent="0.2">
      <c r="B2" s="10" t="s">
        <v>51</v>
      </c>
      <c r="C2" s="114"/>
      <c r="D2" s="115"/>
      <c r="E2" s="114"/>
      <c r="F2" s="123">
        <v>1</v>
      </c>
      <c r="G2" s="251"/>
      <c r="H2" s="251"/>
      <c r="I2" s="125" t="s">
        <v>6</v>
      </c>
      <c r="J2" s="126">
        <v>502579.09195763944</v>
      </c>
      <c r="K2" s="126">
        <v>693285.51295897958</v>
      </c>
      <c r="L2" s="127"/>
      <c r="M2" s="128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CY2021 SPP Network Transmission Service</v>
      </c>
      <c r="C3" s="114"/>
      <c r="D3" s="115"/>
      <c r="E3" s="114"/>
      <c r="F3" s="123"/>
      <c r="G3" s="251"/>
      <c r="H3" s="251"/>
      <c r="I3" s="125" t="s">
        <v>10</v>
      </c>
      <c r="J3" s="129">
        <v>5.1121348776600728</v>
      </c>
      <c r="K3" s="129">
        <v>7.0559102035395256</v>
      </c>
      <c r="L3" s="130" t="str">
        <f>"Inv. Jan-Dec'"&amp;RIGHT(R1,2)</f>
        <v>Inv. Jan-Dec'21</v>
      </c>
      <c r="M3" s="128"/>
      <c r="N3" s="52"/>
      <c r="O3" s="52"/>
      <c r="P3" s="52"/>
      <c r="Q3" s="52"/>
      <c r="R3" s="1"/>
    </row>
    <row r="4" spans="2:18" x14ac:dyDescent="0.2">
      <c r="B4" s="9"/>
      <c r="C4" s="114"/>
      <c r="D4" s="115"/>
      <c r="E4" s="114"/>
      <c r="F4" s="123"/>
      <c r="G4" s="124"/>
      <c r="H4" s="124"/>
      <c r="I4" s="51"/>
      <c r="J4" s="124"/>
      <c r="K4" s="131"/>
      <c r="L4" s="124"/>
      <c r="M4" s="132"/>
      <c r="R4" s="1"/>
    </row>
    <row r="5" spans="2:18" x14ac:dyDescent="0.2">
      <c r="B5" s="9"/>
      <c r="C5" s="114"/>
      <c r="D5" s="115"/>
      <c r="E5" s="114"/>
      <c r="F5" s="123"/>
      <c r="G5" s="124"/>
      <c r="H5" s="124"/>
      <c r="I5" s="125"/>
      <c r="J5" s="124"/>
      <c r="K5" s="126">
        <v>0</v>
      </c>
      <c r="L5" s="236"/>
      <c r="M5" s="133"/>
      <c r="N5" s="134"/>
      <c r="O5" s="134"/>
      <c r="P5" s="134"/>
      <c r="Q5" s="134"/>
      <c r="R5" s="135"/>
    </row>
    <row r="6" spans="2:18" x14ac:dyDescent="0.2">
      <c r="B6" s="10" t="s">
        <v>23</v>
      </c>
      <c r="D6" s="115"/>
      <c r="E6" s="114"/>
      <c r="F6" s="136"/>
      <c r="G6" s="137"/>
      <c r="H6" s="138"/>
      <c r="I6" s="139"/>
      <c r="J6" s="140"/>
      <c r="K6" s="129">
        <v>0</v>
      </c>
      <c r="L6" s="141"/>
      <c r="M6" s="133"/>
      <c r="N6" s="134"/>
      <c r="O6" s="134"/>
      <c r="P6" s="134"/>
      <c r="Q6" s="134"/>
      <c r="R6" s="1"/>
    </row>
    <row r="7" spans="2:18" x14ac:dyDescent="0.2">
      <c r="B7" s="9" t="s">
        <v>76</v>
      </c>
      <c r="D7" s="115"/>
      <c r="E7" s="114"/>
      <c r="F7" s="123"/>
      <c r="G7" s="252"/>
      <c r="H7" s="251"/>
      <c r="I7" s="125"/>
      <c r="J7" s="142"/>
      <c r="K7" s="127"/>
      <c r="L7" s="127"/>
      <c r="M7" s="143"/>
      <c r="N7" s="144"/>
      <c r="O7" s="144"/>
      <c r="P7" s="144"/>
      <c r="Q7" s="144"/>
      <c r="R7" s="1"/>
    </row>
    <row r="8" spans="2:18" x14ac:dyDescent="0.2">
      <c r="B8" s="10"/>
      <c r="C8" s="114"/>
      <c r="D8" s="115"/>
      <c r="E8" s="114"/>
      <c r="F8" s="123"/>
      <c r="G8" s="251"/>
      <c r="H8" s="251"/>
      <c r="I8" s="125"/>
      <c r="J8" s="145"/>
      <c r="K8" s="127"/>
      <c r="L8" s="146"/>
      <c r="M8" s="128"/>
      <c r="N8" s="52"/>
      <c r="O8" s="52"/>
      <c r="P8" s="52"/>
      <c r="Q8" s="52"/>
      <c r="R8" s="135"/>
    </row>
    <row r="9" spans="2:18" x14ac:dyDescent="0.2">
      <c r="B9" s="147"/>
      <c r="C9" s="114"/>
      <c r="D9" s="115"/>
      <c r="E9" s="114"/>
      <c r="F9" s="123"/>
      <c r="G9" s="124"/>
      <c r="H9" s="124"/>
      <c r="I9" s="148"/>
      <c r="J9" s="149"/>
      <c r="K9" s="150"/>
      <c r="L9" s="151"/>
      <c r="M9" s="128"/>
      <c r="N9" s="52"/>
      <c r="O9" s="52"/>
      <c r="P9" s="52"/>
      <c r="Q9" s="52"/>
      <c r="R9" s="135"/>
    </row>
    <row r="10" spans="2:18" ht="13.5" thickBot="1" x14ac:dyDescent="0.2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x14ac:dyDescent="0.2">
      <c r="B11" s="161"/>
      <c r="E11" s="152"/>
      <c r="L11" s="165"/>
      <c r="M11" s="1"/>
      <c r="N11" s="1"/>
      <c r="O11" s="1"/>
      <c r="P11" s="1"/>
      <c r="Q11" s="1"/>
      <c r="R11" s="135"/>
    </row>
    <row r="12" spans="2:18" x14ac:dyDescent="0.2">
      <c r="E12" s="152"/>
      <c r="L12" s="165"/>
      <c r="R12" s="166" t="s">
        <v>59</v>
      </c>
    </row>
    <row r="13" spans="2:18" x14ac:dyDescent="0.2">
      <c r="E13" s="152"/>
      <c r="F13" s="167"/>
      <c r="G13" s="168"/>
      <c r="H13" s="168"/>
      <c r="I13" s="169" t="s">
        <v>57</v>
      </c>
      <c r="J13" s="170">
        <f t="shared" ref="J13:R13" si="0">SUM(J56:J211)</f>
        <v>130783.74657517768</v>
      </c>
      <c r="K13" s="170">
        <f t="shared" si="0"/>
        <v>180511.35073715181</v>
      </c>
      <c r="L13" s="171">
        <f t="shared" si="0"/>
        <v>-49727.604161974021</v>
      </c>
      <c r="M13" s="172">
        <f t="shared" si="0"/>
        <v>-1586.8748964201679</v>
      </c>
      <c r="N13" s="170">
        <f t="shared" si="0"/>
        <v>-51314.479058394223</v>
      </c>
      <c r="O13" s="170">
        <f t="shared" si="0"/>
        <v>0</v>
      </c>
      <c r="P13" s="170">
        <f t="shared" si="0"/>
        <v>0</v>
      </c>
      <c r="Q13" s="170">
        <f t="shared" si="0"/>
        <v>0</v>
      </c>
      <c r="R13" s="171">
        <f t="shared" si="0"/>
        <v>-51314.479058394223</v>
      </c>
    </row>
    <row r="14" spans="2:18" x14ac:dyDescent="0.2">
      <c r="E14" s="152"/>
      <c r="F14" s="173"/>
      <c r="G14" s="173"/>
      <c r="H14" s="173"/>
      <c r="I14" s="174" t="s">
        <v>58</v>
      </c>
      <c r="J14" s="170">
        <f>SUM(J20:J211)</f>
        <v>502579.09195763961</v>
      </c>
      <c r="K14" s="170">
        <f>SUM(K20:K211)</f>
        <v>693673.58802017441</v>
      </c>
      <c r="L14" s="171">
        <f>SUM(L20:L211)</f>
        <v>-191094.49606253504</v>
      </c>
      <c r="M14" s="237">
        <v>-6098.0830216144677</v>
      </c>
      <c r="N14" s="170">
        <f>SUM(N20:N211)</f>
        <v>-197192.57908414968</v>
      </c>
      <c r="O14" s="170">
        <f>SUM(O20:O211)</f>
        <v>0</v>
      </c>
      <c r="P14" s="170">
        <f>SUM(P20:P211)</f>
        <v>0</v>
      </c>
      <c r="Q14" s="170">
        <f>SUM(Q20:Q211)</f>
        <v>0</v>
      </c>
      <c r="R14" s="171">
        <f>SUM(R20:R211)</f>
        <v>-197192.57908414968</v>
      </c>
    </row>
    <row r="15" spans="2:18" x14ac:dyDescent="0.2">
      <c r="B15" s="175" t="s">
        <v>81</v>
      </c>
      <c r="E15" s="152"/>
      <c r="J15" s="163"/>
      <c r="L15" s="165"/>
      <c r="M15" s="239"/>
      <c r="N15" s="176"/>
      <c r="O15" s="176"/>
      <c r="P15" s="176"/>
      <c r="Q15" s="176"/>
      <c r="R15" s="177" t="s">
        <v>20</v>
      </c>
    </row>
    <row r="16" spans="2:18" x14ac:dyDescent="0.2">
      <c r="B16" s="178" t="str">
        <f>"** Actual Trued-Up CY"&amp;R1&amp;" Charge reflects "&amp;R1&amp;" True-UP Rate x MW"</f>
        <v>** Actual Trued-Up CY2021 Charge reflects 2021 True-UP Rate x MW</v>
      </c>
      <c r="E16" s="152"/>
      <c r="F16" s="124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">
      <c r="B17" s="182" t="s">
        <v>61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" customHeight="1" x14ac:dyDescent="0.2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">
      <c r="B19" s="190" t="s">
        <v>52</v>
      </c>
      <c r="C19" s="240" t="s">
        <v>4</v>
      </c>
      <c r="D19" s="240" t="s">
        <v>5</v>
      </c>
      <c r="E19" s="241" t="s">
        <v>0</v>
      </c>
      <c r="F19" s="242" t="s">
        <v>12</v>
      </c>
      <c r="G19" s="243" t="s">
        <v>1</v>
      </c>
      <c r="H19" s="191" t="s">
        <v>47</v>
      </c>
      <c r="I19" s="191" t="s">
        <v>45</v>
      </c>
      <c r="J19" s="192" t="str">
        <f>"True-Up Charge"</f>
        <v>True-Up Charge</v>
      </c>
      <c r="K19" s="192" t="s">
        <v>46</v>
      </c>
      <c r="L19" s="193" t="s">
        <v>3</v>
      </c>
      <c r="M19" s="194" t="s">
        <v>7</v>
      </c>
      <c r="N19" s="195" t="s">
        <v>98</v>
      </c>
      <c r="O19" s="195" t="s">
        <v>83</v>
      </c>
      <c r="P19" s="195" t="s">
        <v>84</v>
      </c>
      <c r="Q19" s="195" t="s">
        <v>85</v>
      </c>
      <c r="R19" s="196" t="s">
        <v>2</v>
      </c>
    </row>
    <row r="20" spans="1:18" s="52" customFormat="1" ht="12.75" customHeight="1" x14ac:dyDescent="0.2">
      <c r="A20" s="124">
        <v>1</v>
      </c>
      <c r="B20" s="197">
        <f>DATE($R$1,A20,1)</f>
        <v>44197</v>
      </c>
      <c r="C20" s="198">
        <v>44230</v>
      </c>
      <c r="D20" s="198">
        <v>44251</v>
      </c>
      <c r="E20" s="199" t="s">
        <v>21</v>
      </c>
      <c r="F20" s="124">
        <v>9</v>
      </c>
      <c r="G20" s="200">
        <v>2536</v>
      </c>
      <c r="H20" s="201">
        <f>+$K$3</f>
        <v>7.0559102035395256</v>
      </c>
      <c r="I20" s="201">
        <f t="shared" ref="I20:I63" si="1">$J$3</f>
        <v>5.1121348776600728</v>
      </c>
      <c r="J20" s="202">
        <f t="shared" ref="J20:J108" si="2">+$G20*I20</f>
        <v>12964.374049745944</v>
      </c>
      <c r="K20" s="203">
        <f>+$G20*H20</f>
        <v>17893.788276176238</v>
      </c>
      <c r="L20" s="204">
        <f t="shared" ref="L20:L34" si="3">+J20-K20</f>
        <v>-4929.4142264302936</v>
      </c>
      <c r="M20" s="205">
        <f>G20/$G$212*$M$14</f>
        <v>-157.30425428298247</v>
      </c>
      <c r="N20" s="206">
        <f>SUM(L20:M20)</f>
        <v>-5086.7184807132762</v>
      </c>
      <c r="O20" s="205">
        <v>0</v>
      </c>
      <c r="P20" s="205">
        <v>0</v>
      </c>
      <c r="Q20" s="205">
        <v>0</v>
      </c>
      <c r="R20" s="206">
        <f>+N20-Q20</f>
        <v>-5086.7184807132762</v>
      </c>
    </row>
    <row r="21" spans="1:18" x14ac:dyDescent="0.2">
      <c r="A21" s="162">
        <v>2</v>
      </c>
      <c r="B21" s="197">
        <f t="shared" ref="B21:B108" si="4">DATE($R$1,A21,1)</f>
        <v>44228</v>
      </c>
      <c r="C21" s="198">
        <v>44258</v>
      </c>
      <c r="D21" s="198">
        <v>44279</v>
      </c>
      <c r="E21" s="207" t="s">
        <v>21</v>
      </c>
      <c r="F21" s="162">
        <v>9</v>
      </c>
      <c r="G21" s="200">
        <v>2976</v>
      </c>
      <c r="H21" s="201">
        <f t="shared" ref="H21:H84" si="5">+$K$3</f>
        <v>7.0559102035395256</v>
      </c>
      <c r="I21" s="201">
        <f t="shared" si="1"/>
        <v>5.1121348776600728</v>
      </c>
      <c r="J21" s="202">
        <f t="shared" si="2"/>
        <v>15213.713395916377</v>
      </c>
      <c r="K21" s="203">
        <f t="shared" ref="K21:K33" si="6">+$G21*H21</f>
        <v>20998.388765733627</v>
      </c>
      <c r="L21" s="204">
        <f t="shared" si="3"/>
        <v>-5784.6753698172506</v>
      </c>
      <c r="M21" s="205">
        <f t="shared" ref="M21:M84" si="7">G21/$G$212*$M$14</f>
        <v>-184.59679051504568</v>
      </c>
      <c r="N21" s="206">
        <f t="shared" ref="N21:N84" si="8">SUM(L21:M21)</f>
        <v>-5969.2721603322962</v>
      </c>
      <c r="O21" s="205">
        <v>0</v>
      </c>
      <c r="P21" s="205">
        <v>0</v>
      </c>
      <c r="Q21" s="205">
        <v>0</v>
      </c>
      <c r="R21" s="206">
        <f t="shared" ref="R21:R84" si="9">+N21-Q21</f>
        <v>-5969.2721603322962</v>
      </c>
    </row>
    <row r="22" spans="1:18" x14ac:dyDescent="0.2">
      <c r="A22" s="162">
        <v>3</v>
      </c>
      <c r="B22" s="197">
        <f t="shared" si="4"/>
        <v>44256</v>
      </c>
      <c r="C22" s="198">
        <v>44291</v>
      </c>
      <c r="D22" s="198">
        <v>44312</v>
      </c>
      <c r="E22" s="207" t="s">
        <v>21</v>
      </c>
      <c r="F22" s="162">
        <v>9</v>
      </c>
      <c r="G22" s="200">
        <v>2203</v>
      </c>
      <c r="H22" s="201">
        <f t="shared" si="5"/>
        <v>7.0559102035395256</v>
      </c>
      <c r="I22" s="201">
        <f t="shared" si="1"/>
        <v>5.1121348776600728</v>
      </c>
      <c r="J22" s="202">
        <f t="shared" si="2"/>
        <v>11262.033135485141</v>
      </c>
      <c r="K22" s="203">
        <f t="shared" si="6"/>
        <v>15544.170178397575</v>
      </c>
      <c r="L22" s="204">
        <f t="shared" si="3"/>
        <v>-4282.1370429124345</v>
      </c>
      <c r="M22" s="205">
        <f t="shared" si="7"/>
        <v>-136.64876663462556</v>
      </c>
      <c r="N22" s="206">
        <f t="shared" si="8"/>
        <v>-4418.7858095470601</v>
      </c>
      <c r="O22" s="205">
        <v>0</v>
      </c>
      <c r="P22" s="205">
        <v>0</v>
      </c>
      <c r="Q22" s="205">
        <v>0</v>
      </c>
      <c r="R22" s="206">
        <f t="shared" si="9"/>
        <v>-4418.7858095470601</v>
      </c>
    </row>
    <row r="23" spans="1:18" x14ac:dyDescent="0.2">
      <c r="A23" s="124">
        <v>4</v>
      </c>
      <c r="B23" s="197">
        <f t="shared" si="4"/>
        <v>44287</v>
      </c>
      <c r="C23" s="198">
        <v>44321</v>
      </c>
      <c r="D23" s="198">
        <v>44340</v>
      </c>
      <c r="E23" s="207" t="s">
        <v>21</v>
      </c>
      <c r="F23" s="162">
        <v>9</v>
      </c>
      <c r="G23" s="200">
        <v>2146</v>
      </c>
      <c r="H23" s="201">
        <f t="shared" si="5"/>
        <v>7.0559102035395256</v>
      </c>
      <c r="I23" s="201">
        <f t="shared" si="1"/>
        <v>5.1121348776600728</v>
      </c>
      <c r="J23" s="202">
        <f t="shared" si="2"/>
        <v>10970.641447458516</v>
      </c>
      <c r="K23" s="203">
        <f t="shared" si="6"/>
        <v>15141.983296795823</v>
      </c>
      <c r="L23" s="204">
        <f t="shared" si="3"/>
        <v>-4171.3418493373065</v>
      </c>
      <c r="M23" s="205">
        <f t="shared" si="7"/>
        <v>-133.11314262274465</v>
      </c>
      <c r="N23" s="206">
        <f t="shared" si="8"/>
        <v>-4304.4549919600513</v>
      </c>
      <c r="O23" s="205">
        <v>0</v>
      </c>
      <c r="P23" s="205">
        <v>0</v>
      </c>
      <c r="Q23" s="205">
        <v>0</v>
      </c>
      <c r="R23" s="206">
        <f t="shared" si="9"/>
        <v>-4304.4549919600513</v>
      </c>
    </row>
    <row r="24" spans="1:18" ht="12" customHeight="1" x14ac:dyDescent="0.2">
      <c r="A24" s="162">
        <v>5</v>
      </c>
      <c r="B24" s="197">
        <f t="shared" si="4"/>
        <v>44317</v>
      </c>
      <c r="C24" s="198">
        <v>44350</v>
      </c>
      <c r="D24" s="198">
        <v>44371</v>
      </c>
      <c r="E24" s="54" t="s">
        <v>21</v>
      </c>
      <c r="F24" s="162">
        <v>9</v>
      </c>
      <c r="G24" s="200">
        <v>2961</v>
      </c>
      <c r="H24" s="201">
        <f t="shared" si="5"/>
        <v>7.0559102035395256</v>
      </c>
      <c r="I24" s="201">
        <f t="shared" si="1"/>
        <v>5.1121348776600728</v>
      </c>
      <c r="J24" s="202">
        <f t="shared" si="2"/>
        <v>15137.031372751475</v>
      </c>
      <c r="K24" s="203">
        <f t="shared" si="6"/>
        <v>20892.550112680536</v>
      </c>
      <c r="L24" s="204">
        <f t="shared" si="3"/>
        <v>-5755.5187399290608</v>
      </c>
      <c r="M24" s="205">
        <f t="shared" si="7"/>
        <v>-183.66636314349807</v>
      </c>
      <c r="N24" s="206">
        <f t="shared" si="8"/>
        <v>-5939.1851030725593</v>
      </c>
      <c r="O24" s="205">
        <v>0</v>
      </c>
      <c r="P24" s="205">
        <v>0</v>
      </c>
      <c r="Q24" s="205">
        <v>0</v>
      </c>
      <c r="R24" s="206">
        <f t="shared" si="9"/>
        <v>-5939.1851030725593</v>
      </c>
    </row>
    <row r="25" spans="1:18" x14ac:dyDescent="0.2">
      <c r="A25" s="162">
        <v>6</v>
      </c>
      <c r="B25" s="197">
        <f t="shared" si="4"/>
        <v>44348</v>
      </c>
      <c r="C25" s="198">
        <v>44383</v>
      </c>
      <c r="D25" s="198">
        <v>44401</v>
      </c>
      <c r="E25" s="54" t="s">
        <v>21</v>
      </c>
      <c r="F25" s="162">
        <v>9</v>
      </c>
      <c r="G25" s="200">
        <v>3827</v>
      </c>
      <c r="H25" s="201">
        <f t="shared" si="5"/>
        <v>7.0559102035395256</v>
      </c>
      <c r="I25" s="201">
        <f t="shared" si="1"/>
        <v>5.1121348776600728</v>
      </c>
      <c r="J25" s="202">
        <f t="shared" si="2"/>
        <v>19564.1401768051</v>
      </c>
      <c r="K25" s="203">
        <f t="shared" si="6"/>
        <v>27002.968348945764</v>
      </c>
      <c r="L25" s="208">
        <f t="shared" si="3"/>
        <v>-7438.8281721406638</v>
      </c>
      <c r="M25" s="205">
        <f t="shared" si="7"/>
        <v>-237.38303672751337</v>
      </c>
      <c r="N25" s="206">
        <f t="shared" si="8"/>
        <v>-7676.211208868177</v>
      </c>
      <c r="O25" s="205">
        <v>0</v>
      </c>
      <c r="P25" s="205">
        <v>0</v>
      </c>
      <c r="Q25" s="205">
        <v>0</v>
      </c>
      <c r="R25" s="206">
        <f t="shared" si="9"/>
        <v>-7676.211208868177</v>
      </c>
    </row>
    <row r="26" spans="1:18" x14ac:dyDescent="0.2">
      <c r="A26" s="124">
        <v>7</v>
      </c>
      <c r="B26" s="197">
        <f t="shared" si="4"/>
        <v>44378</v>
      </c>
      <c r="C26" s="198">
        <v>44412</v>
      </c>
      <c r="D26" s="198">
        <v>44432</v>
      </c>
      <c r="E26" s="54" t="s">
        <v>21</v>
      </c>
      <c r="F26" s="162">
        <v>9</v>
      </c>
      <c r="G26" s="200">
        <v>3938</v>
      </c>
      <c r="H26" s="201">
        <f t="shared" si="5"/>
        <v>7.0559102035395256</v>
      </c>
      <c r="I26" s="201">
        <f t="shared" si="1"/>
        <v>5.1121348776600728</v>
      </c>
      <c r="J26" s="202">
        <f t="shared" si="2"/>
        <v>20131.587148225368</v>
      </c>
      <c r="K26" s="209">
        <f t="shared" si="6"/>
        <v>27786.174381538651</v>
      </c>
      <c r="L26" s="208">
        <f t="shared" si="3"/>
        <v>-7654.5872333132829</v>
      </c>
      <c r="M26" s="205">
        <f t="shared" si="7"/>
        <v>-244.26819927696567</v>
      </c>
      <c r="N26" s="206">
        <f t="shared" si="8"/>
        <v>-7898.8554325902487</v>
      </c>
      <c r="O26" s="205">
        <v>0</v>
      </c>
      <c r="P26" s="205">
        <v>0</v>
      </c>
      <c r="Q26" s="205">
        <v>0</v>
      </c>
      <c r="R26" s="206">
        <f t="shared" si="9"/>
        <v>-7898.8554325902487</v>
      </c>
    </row>
    <row r="27" spans="1:18" x14ac:dyDescent="0.2">
      <c r="A27" s="162">
        <v>8</v>
      </c>
      <c r="B27" s="197">
        <f t="shared" si="4"/>
        <v>44409</v>
      </c>
      <c r="C27" s="198">
        <v>44442</v>
      </c>
      <c r="D27" s="198">
        <v>44463</v>
      </c>
      <c r="E27" s="54" t="s">
        <v>21</v>
      </c>
      <c r="F27" s="162">
        <v>9</v>
      </c>
      <c r="G27" s="200">
        <v>4002</v>
      </c>
      <c r="H27" s="201">
        <f t="shared" si="5"/>
        <v>7.0559102035395256</v>
      </c>
      <c r="I27" s="201">
        <f t="shared" si="1"/>
        <v>5.1121348776600728</v>
      </c>
      <c r="J27" s="202">
        <f t="shared" si="2"/>
        <v>20458.763780395613</v>
      </c>
      <c r="K27" s="209">
        <f t="shared" si="6"/>
        <v>28237.752634565182</v>
      </c>
      <c r="L27" s="208">
        <f t="shared" si="3"/>
        <v>-7778.9888541695691</v>
      </c>
      <c r="M27" s="205">
        <f t="shared" si="7"/>
        <v>-248.23802272890214</v>
      </c>
      <c r="N27" s="206">
        <f t="shared" si="8"/>
        <v>-8027.2268768984713</v>
      </c>
      <c r="O27" s="205">
        <v>0</v>
      </c>
      <c r="P27" s="205">
        <v>0</v>
      </c>
      <c r="Q27" s="205">
        <v>0</v>
      </c>
      <c r="R27" s="206">
        <f t="shared" si="9"/>
        <v>-8027.2268768984713</v>
      </c>
    </row>
    <row r="28" spans="1:18" x14ac:dyDescent="0.2">
      <c r="A28" s="162">
        <v>9</v>
      </c>
      <c r="B28" s="197">
        <f t="shared" si="4"/>
        <v>44440</v>
      </c>
      <c r="C28" s="198">
        <v>44474</v>
      </c>
      <c r="D28" s="198">
        <v>44494</v>
      </c>
      <c r="E28" s="54" t="s">
        <v>21</v>
      </c>
      <c r="F28" s="162">
        <v>9</v>
      </c>
      <c r="G28" s="200">
        <v>4029</v>
      </c>
      <c r="H28" s="201">
        <f t="shared" si="5"/>
        <v>7.0559102035395256</v>
      </c>
      <c r="I28" s="201">
        <f t="shared" si="1"/>
        <v>5.1121348776600728</v>
      </c>
      <c r="J28" s="202">
        <f t="shared" si="2"/>
        <v>20596.791422092432</v>
      </c>
      <c r="K28" s="209">
        <f t="shared" si="6"/>
        <v>28428.262210060748</v>
      </c>
      <c r="L28" s="208">
        <f t="shared" si="3"/>
        <v>-7831.4707879683156</v>
      </c>
      <c r="M28" s="205">
        <f t="shared" si="7"/>
        <v>-249.91279199768786</v>
      </c>
      <c r="N28" s="206">
        <f t="shared" si="8"/>
        <v>-8081.3835799660037</v>
      </c>
      <c r="O28" s="205">
        <v>0</v>
      </c>
      <c r="P28" s="205">
        <v>0</v>
      </c>
      <c r="Q28" s="205">
        <v>0</v>
      </c>
      <c r="R28" s="206">
        <f t="shared" si="9"/>
        <v>-8081.3835799660037</v>
      </c>
    </row>
    <row r="29" spans="1:18" x14ac:dyDescent="0.2">
      <c r="A29" s="124">
        <v>10</v>
      </c>
      <c r="B29" s="197">
        <f t="shared" si="4"/>
        <v>44470</v>
      </c>
      <c r="C29" s="198">
        <v>44503</v>
      </c>
      <c r="D29" s="198">
        <v>44524</v>
      </c>
      <c r="E29" s="54" t="s">
        <v>21</v>
      </c>
      <c r="F29" s="162">
        <v>9</v>
      </c>
      <c r="G29" s="200">
        <v>3123</v>
      </c>
      <c r="H29" s="201">
        <f t="shared" si="5"/>
        <v>7.0559102035395256</v>
      </c>
      <c r="I29" s="201">
        <f t="shared" si="1"/>
        <v>5.1121348776600728</v>
      </c>
      <c r="J29" s="202">
        <f t="shared" si="2"/>
        <v>15965.197222932407</v>
      </c>
      <c r="K29" s="209">
        <f t="shared" si="6"/>
        <v>22035.60756565394</v>
      </c>
      <c r="L29" s="208">
        <f t="shared" si="3"/>
        <v>-6070.4103427215323</v>
      </c>
      <c r="M29" s="205">
        <f t="shared" si="7"/>
        <v>-193.71497875621228</v>
      </c>
      <c r="N29" s="206">
        <f t="shared" si="8"/>
        <v>-6264.1253214777444</v>
      </c>
      <c r="O29" s="205">
        <v>0</v>
      </c>
      <c r="P29" s="205">
        <v>0</v>
      </c>
      <c r="Q29" s="205">
        <v>0</v>
      </c>
      <c r="R29" s="206">
        <f t="shared" si="9"/>
        <v>-6264.1253214777444</v>
      </c>
    </row>
    <row r="30" spans="1:18" x14ac:dyDescent="0.2">
      <c r="A30" s="162">
        <v>11</v>
      </c>
      <c r="B30" s="197">
        <f t="shared" si="4"/>
        <v>44501</v>
      </c>
      <c r="C30" s="198">
        <v>44533</v>
      </c>
      <c r="D30" s="198">
        <v>44557</v>
      </c>
      <c r="E30" s="54" t="s">
        <v>21</v>
      </c>
      <c r="F30" s="162">
        <v>9</v>
      </c>
      <c r="G30" s="200">
        <v>2263</v>
      </c>
      <c r="H30" s="201">
        <f t="shared" si="5"/>
        <v>7.0559102035395256</v>
      </c>
      <c r="I30" s="201">
        <f t="shared" si="1"/>
        <v>5.1121348776600728</v>
      </c>
      <c r="J30" s="202">
        <f t="shared" si="2"/>
        <v>11568.761228144745</v>
      </c>
      <c r="K30" s="209">
        <f t="shared" si="6"/>
        <v>15967.524790609947</v>
      </c>
      <c r="L30" s="208">
        <f t="shared" si="3"/>
        <v>-4398.7635624652012</v>
      </c>
      <c r="M30" s="205">
        <f t="shared" si="7"/>
        <v>-140.37047612081599</v>
      </c>
      <c r="N30" s="206">
        <f t="shared" si="8"/>
        <v>-4539.1340385860176</v>
      </c>
      <c r="O30" s="205">
        <v>0</v>
      </c>
      <c r="P30" s="205">
        <v>0</v>
      </c>
      <c r="Q30" s="205">
        <v>0</v>
      </c>
      <c r="R30" s="206">
        <f t="shared" si="9"/>
        <v>-4539.1340385860176</v>
      </c>
    </row>
    <row r="31" spans="1:18" x14ac:dyDescent="0.2">
      <c r="A31" s="162">
        <v>12</v>
      </c>
      <c r="B31" s="197">
        <f t="shared" si="4"/>
        <v>44531</v>
      </c>
      <c r="C31" s="210">
        <v>44566</v>
      </c>
      <c r="D31" s="211">
        <v>44585</v>
      </c>
      <c r="E31" s="54" t="s">
        <v>21</v>
      </c>
      <c r="F31" s="162">
        <v>9</v>
      </c>
      <c r="G31" s="212">
        <v>2379</v>
      </c>
      <c r="H31" s="213">
        <f t="shared" si="5"/>
        <v>7.0559102035395256</v>
      </c>
      <c r="I31" s="213">
        <f t="shared" si="1"/>
        <v>5.1121348776600728</v>
      </c>
      <c r="J31" s="214">
        <f t="shared" si="2"/>
        <v>12161.768873953313</v>
      </c>
      <c r="K31" s="215">
        <f t="shared" si="6"/>
        <v>16786.010374220532</v>
      </c>
      <c r="L31" s="216">
        <f t="shared" si="3"/>
        <v>-4624.2415002672187</v>
      </c>
      <c r="M31" s="205">
        <f t="shared" si="7"/>
        <v>-147.56578112745083</v>
      </c>
      <c r="N31" s="206">
        <f t="shared" si="8"/>
        <v>-4771.8072813946692</v>
      </c>
      <c r="O31" s="205">
        <v>0</v>
      </c>
      <c r="P31" s="205">
        <v>0</v>
      </c>
      <c r="Q31" s="205">
        <v>0</v>
      </c>
      <c r="R31" s="206">
        <f t="shared" si="9"/>
        <v>-4771.8072813946692</v>
      </c>
    </row>
    <row r="32" spans="1:18" x14ac:dyDescent="0.2">
      <c r="A32" s="124">
        <v>1</v>
      </c>
      <c r="B32" s="217">
        <f t="shared" si="4"/>
        <v>44197</v>
      </c>
      <c r="C32" s="218">
        <f t="shared" ref="C32:D43" si="10">+C20</f>
        <v>44230</v>
      </c>
      <c r="D32" s="218">
        <f t="shared" si="10"/>
        <v>44251</v>
      </c>
      <c r="E32" s="219" t="s">
        <v>22</v>
      </c>
      <c r="F32" s="220">
        <v>9</v>
      </c>
      <c r="G32" s="200">
        <v>2771</v>
      </c>
      <c r="H32" s="201">
        <f t="shared" si="5"/>
        <v>7.0559102035395256</v>
      </c>
      <c r="I32" s="201">
        <f t="shared" si="1"/>
        <v>5.1121348776600728</v>
      </c>
      <c r="J32" s="202">
        <f t="shared" si="2"/>
        <v>14165.725745996062</v>
      </c>
      <c r="K32" s="203">
        <f t="shared" si="6"/>
        <v>19551.927174008026</v>
      </c>
      <c r="L32" s="204">
        <f t="shared" si="3"/>
        <v>-5386.2014280119638</v>
      </c>
      <c r="M32" s="205">
        <f t="shared" si="7"/>
        <v>-171.8809497705617</v>
      </c>
      <c r="N32" s="206">
        <f t="shared" si="8"/>
        <v>-5558.0823777825253</v>
      </c>
      <c r="O32" s="205">
        <v>0</v>
      </c>
      <c r="P32" s="205">
        <v>0</v>
      </c>
      <c r="Q32" s="205">
        <v>0</v>
      </c>
      <c r="R32" s="206">
        <f t="shared" si="9"/>
        <v>-5558.0823777825253</v>
      </c>
    </row>
    <row r="33" spans="1:18" x14ac:dyDescent="0.2">
      <c r="A33" s="162">
        <v>2</v>
      </c>
      <c r="B33" s="197">
        <f t="shared" si="4"/>
        <v>44228</v>
      </c>
      <c r="C33" s="221">
        <f t="shared" si="10"/>
        <v>44258</v>
      </c>
      <c r="D33" s="221">
        <f t="shared" si="10"/>
        <v>44279</v>
      </c>
      <c r="E33" s="207" t="s">
        <v>22</v>
      </c>
      <c r="F33" s="162">
        <v>9</v>
      </c>
      <c r="G33" s="200">
        <v>3136</v>
      </c>
      <c r="H33" s="201">
        <f t="shared" si="5"/>
        <v>7.0559102035395256</v>
      </c>
      <c r="I33" s="201">
        <f t="shared" si="1"/>
        <v>5.1121348776600728</v>
      </c>
      <c r="J33" s="202">
        <f t="shared" si="2"/>
        <v>16031.654976341988</v>
      </c>
      <c r="K33" s="203">
        <f t="shared" si="6"/>
        <v>22127.33439829995</v>
      </c>
      <c r="L33" s="204">
        <f t="shared" si="3"/>
        <v>-6095.6794219579624</v>
      </c>
      <c r="M33" s="205">
        <f t="shared" si="7"/>
        <v>-194.52134914488687</v>
      </c>
      <c r="N33" s="206">
        <f t="shared" si="8"/>
        <v>-6290.2007711028491</v>
      </c>
      <c r="O33" s="205">
        <v>0</v>
      </c>
      <c r="P33" s="205">
        <v>0</v>
      </c>
      <c r="Q33" s="205">
        <v>0</v>
      </c>
      <c r="R33" s="206">
        <f t="shared" si="9"/>
        <v>-6290.2007711028491</v>
      </c>
    </row>
    <row r="34" spans="1:18" x14ac:dyDescent="0.2">
      <c r="A34" s="162">
        <v>3</v>
      </c>
      <c r="B34" s="197">
        <f t="shared" si="4"/>
        <v>44256</v>
      </c>
      <c r="C34" s="221">
        <f t="shared" si="10"/>
        <v>44291</v>
      </c>
      <c r="D34" s="221">
        <f t="shared" si="10"/>
        <v>44312</v>
      </c>
      <c r="E34" s="207" t="s">
        <v>22</v>
      </c>
      <c r="F34" s="162">
        <v>9</v>
      </c>
      <c r="G34" s="200">
        <v>2339</v>
      </c>
      <c r="H34" s="201">
        <f t="shared" si="5"/>
        <v>7.0559102035395256</v>
      </c>
      <c r="I34" s="201">
        <f t="shared" si="1"/>
        <v>5.1121348776600728</v>
      </c>
      <c r="J34" s="202">
        <f t="shared" si="2"/>
        <v>11957.28347884691</v>
      </c>
      <c r="K34" s="203">
        <f t="shared" ref="K34:K93" si="11">+$G34*H34</f>
        <v>16503.773966078952</v>
      </c>
      <c r="L34" s="204">
        <f t="shared" si="3"/>
        <v>-4546.4904872320421</v>
      </c>
      <c r="M34" s="205">
        <f t="shared" si="7"/>
        <v>-145.08464146999054</v>
      </c>
      <c r="N34" s="206">
        <f t="shared" si="8"/>
        <v>-4691.575128702033</v>
      </c>
      <c r="O34" s="205">
        <v>0</v>
      </c>
      <c r="P34" s="205">
        <v>0</v>
      </c>
      <c r="Q34" s="205">
        <v>0</v>
      </c>
      <c r="R34" s="206">
        <f t="shared" si="9"/>
        <v>-4691.575128702033</v>
      </c>
    </row>
    <row r="35" spans="1:18" x14ac:dyDescent="0.2">
      <c r="A35" s="124">
        <v>4</v>
      </c>
      <c r="B35" s="197">
        <f t="shared" si="4"/>
        <v>44287</v>
      </c>
      <c r="C35" s="221">
        <f t="shared" si="10"/>
        <v>44321</v>
      </c>
      <c r="D35" s="221">
        <f t="shared" si="10"/>
        <v>44340</v>
      </c>
      <c r="E35" s="207" t="s">
        <v>22</v>
      </c>
      <c r="F35" s="162">
        <v>9</v>
      </c>
      <c r="G35" s="200">
        <v>2394</v>
      </c>
      <c r="H35" s="201">
        <f t="shared" si="5"/>
        <v>7.0559102035395256</v>
      </c>
      <c r="I35" s="201">
        <f t="shared" si="1"/>
        <v>5.1121348776600728</v>
      </c>
      <c r="J35" s="202">
        <f t="shared" si="2"/>
        <v>12238.450897118215</v>
      </c>
      <c r="K35" s="203">
        <f t="shared" si="11"/>
        <v>16891.849027273624</v>
      </c>
      <c r="L35" s="204">
        <f t="shared" ref="L35:L57" si="12">+J35-K35</f>
        <v>-4653.3981301554086</v>
      </c>
      <c r="M35" s="205">
        <f t="shared" si="7"/>
        <v>-148.49620849899844</v>
      </c>
      <c r="N35" s="206">
        <f t="shared" si="8"/>
        <v>-4801.894338654407</v>
      </c>
      <c r="O35" s="205">
        <v>0</v>
      </c>
      <c r="P35" s="205">
        <v>0</v>
      </c>
      <c r="Q35" s="205">
        <v>0</v>
      </c>
      <c r="R35" s="206">
        <f t="shared" si="9"/>
        <v>-4801.894338654407</v>
      </c>
    </row>
    <row r="36" spans="1:18" x14ac:dyDescent="0.2">
      <c r="A36" s="162">
        <v>5</v>
      </c>
      <c r="B36" s="197">
        <f t="shared" si="4"/>
        <v>44317</v>
      </c>
      <c r="C36" s="221">
        <f t="shared" si="10"/>
        <v>44350</v>
      </c>
      <c r="D36" s="221">
        <f t="shared" si="10"/>
        <v>44371</v>
      </c>
      <c r="E36" s="54" t="s">
        <v>22</v>
      </c>
      <c r="F36" s="162">
        <v>9</v>
      </c>
      <c r="G36" s="200">
        <v>2807</v>
      </c>
      <c r="H36" s="201">
        <f t="shared" si="5"/>
        <v>7.0559102035395256</v>
      </c>
      <c r="I36" s="201">
        <f t="shared" si="1"/>
        <v>5.1121348776600728</v>
      </c>
      <c r="J36" s="202">
        <f t="shared" si="2"/>
        <v>14349.762601591825</v>
      </c>
      <c r="K36" s="203">
        <f t="shared" si="11"/>
        <v>19805.939941335448</v>
      </c>
      <c r="L36" s="204">
        <f t="shared" si="12"/>
        <v>-5456.1773397436227</v>
      </c>
      <c r="M36" s="205">
        <f t="shared" si="7"/>
        <v>-174.11397546227593</v>
      </c>
      <c r="N36" s="206">
        <f t="shared" si="8"/>
        <v>-5630.2913152058991</v>
      </c>
      <c r="O36" s="205">
        <v>0</v>
      </c>
      <c r="P36" s="205">
        <v>0</v>
      </c>
      <c r="Q36" s="205">
        <v>0</v>
      </c>
      <c r="R36" s="206">
        <f t="shared" si="9"/>
        <v>-5630.2913152058991</v>
      </c>
    </row>
    <row r="37" spans="1:18" x14ac:dyDescent="0.2">
      <c r="A37" s="162">
        <v>6</v>
      </c>
      <c r="B37" s="197">
        <f t="shared" si="4"/>
        <v>44348</v>
      </c>
      <c r="C37" s="221">
        <f t="shared" si="10"/>
        <v>44383</v>
      </c>
      <c r="D37" s="221">
        <f t="shared" si="10"/>
        <v>44401</v>
      </c>
      <c r="E37" s="54" t="s">
        <v>22</v>
      </c>
      <c r="F37" s="162">
        <v>9</v>
      </c>
      <c r="G37" s="200">
        <v>3345</v>
      </c>
      <c r="H37" s="201">
        <f t="shared" si="5"/>
        <v>7.0559102035395256</v>
      </c>
      <c r="I37" s="201">
        <f t="shared" si="1"/>
        <v>5.1121348776600728</v>
      </c>
      <c r="J37" s="202">
        <f t="shared" si="2"/>
        <v>17100.091165772945</v>
      </c>
      <c r="K37" s="203">
        <f t="shared" si="11"/>
        <v>23602.019630839713</v>
      </c>
      <c r="L37" s="208">
        <f t="shared" si="12"/>
        <v>-6501.9284650667687</v>
      </c>
      <c r="M37" s="205">
        <f t="shared" si="7"/>
        <v>-207.48530385511688</v>
      </c>
      <c r="N37" s="206">
        <f t="shared" si="8"/>
        <v>-6709.413768921886</v>
      </c>
      <c r="O37" s="205">
        <v>0</v>
      </c>
      <c r="P37" s="205">
        <v>0</v>
      </c>
      <c r="Q37" s="205">
        <v>0</v>
      </c>
      <c r="R37" s="206">
        <f t="shared" si="9"/>
        <v>-6709.413768921886</v>
      </c>
    </row>
    <row r="38" spans="1:18" x14ac:dyDescent="0.2">
      <c r="A38" s="124">
        <v>7</v>
      </c>
      <c r="B38" s="197">
        <f t="shared" si="4"/>
        <v>44378</v>
      </c>
      <c r="C38" s="221">
        <f t="shared" si="10"/>
        <v>44412</v>
      </c>
      <c r="D38" s="221">
        <f t="shared" si="10"/>
        <v>44432</v>
      </c>
      <c r="E38" s="54" t="s">
        <v>22</v>
      </c>
      <c r="F38" s="162">
        <v>9</v>
      </c>
      <c r="G38" s="200">
        <v>3525</v>
      </c>
      <c r="H38" s="201">
        <f t="shared" si="5"/>
        <v>7.0559102035395256</v>
      </c>
      <c r="I38" s="201">
        <f t="shared" si="1"/>
        <v>5.1121348776600728</v>
      </c>
      <c r="J38" s="202">
        <f t="shared" si="2"/>
        <v>18020.275443751758</v>
      </c>
      <c r="K38" s="209">
        <f t="shared" si="11"/>
        <v>24872.083467476827</v>
      </c>
      <c r="L38" s="208">
        <f t="shared" si="12"/>
        <v>-6851.8080237250688</v>
      </c>
      <c r="M38" s="205">
        <f t="shared" si="7"/>
        <v>-218.65043231368819</v>
      </c>
      <c r="N38" s="206">
        <f t="shared" si="8"/>
        <v>-7070.4584560387566</v>
      </c>
      <c r="O38" s="205">
        <v>0</v>
      </c>
      <c r="P38" s="205">
        <v>0</v>
      </c>
      <c r="Q38" s="205">
        <v>0</v>
      </c>
      <c r="R38" s="206">
        <f t="shared" si="9"/>
        <v>-7070.4584560387566</v>
      </c>
    </row>
    <row r="39" spans="1:18" x14ac:dyDescent="0.2">
      <c r="A39" s="162">
        <v>8</v>
      </c>
      <c r="B39" s="197">
        <f t="shared" si="4"/>
        <v>44409</v>
      </c>
      <c r="C39" s="221">
        <f t="shared" si="10"/>
        <v>44442</v>
      </c>
      <c r="D39" s="221">
        <f t="shared" si="10"/>
        <v>44463</v>
      </c>
      <c r="E39" s="54" t="s">
        <v>22</v>
      </c>
      <c r="F39" s="162">
        <v>9</v>
      </c>
      <c r="G39" s="200">
        <v>3514</v>
      </c>
      <c r="H39" s="201">
        <f t="shared" si="5"/>
        <v>7.0559102035395256</v>
      </c>
      <c r="I39" s="201">
        <f t="shared" si="1"/>
        <v>5.1121348776600728</v>
      </c>
      <c r="J39" s="202">
        <f t="shared" si="2"/>
        <v>17964.041960097496</v>
      </c>
      <c r="K39" s="209">
        <f t="shared" si="11"/>
        <v>24794.468455237893</v>
      </c>
      <c r="L39" s="208">
        <f t="shared" si="12"/>
        <v>-6830.4264951403966</v>
      </c>
      <c r="M39" s="205">
        <f t="shared" si="7"/>
        <v>-217.96811890788658</v>
      </c>
      <c r="N39" s="206">
        <f t="shared" si="8"/>
        <v>-7048.3946140482831</v>
      </c>
      <c r="O39" s="205">
        <v>0</v>
      </c>
      <c r="P39" s="205">
        <v>0</v>
      </c>
      <c r="Q39" s="205">
        <v>0</v>
      </c>
      <c r="R39" s="206">
        <f t="shared" si="9"/>
        <v>-7048.3946140482831</v>
      </c>
    </row>
    <row r="40" spans="1:18" x14ac:dyDescent="0.2">
      <c r="A40" s="162">
        <v>9</v>
      </c>
      <c r="B40" s="197">
        <f t="shared" si="4"/>
        <v>44440</v>
      </c>
      <c r="C40" s="221">
        <f t="shared" si="10"/>
        <v>44474</v>
      </c>
      <c r="D40" s="221">
        <f t="shared" si="10"/>
        <v>44494</v>
      </c>
      <c r="E40" s="54" t="s">
        <v>22</v>
      </c>
      <c r="F40" s="162">
        <v>9</v>
      </c>
      <c r="G40" s="200">
        <v>3486</v>
      </c>
      <c r="H40" s="201">
        <f t="shared" si="5"/>
        <v>7.0559102035395256</v>
      </c>
      <c r="I40" s="201">
        <f t="shared" si="1"/>
        <v>5.1121348776600728</v>
      </c>
      <c r="J40" s="202">
        <f t="shared" si="2"/>
        <v>17820.902183523012</v>
      </c>
      <c r="K40" s="209">
        <f t="shared" si="11"/>
        <v>24596.902969538787</v>
      </c>
      <c r="L40" s="208">
        <f t="shared" si="12"/>
        <v>-6776.0007860157748</v>
      </c>
      <c r="M40" s="205">
        <f t="shared" si="7"/>
        <v>-216.2313211476644</v>
      </c>
      <c r="N40" s="206">
        <f t="shared" si="8"/>
        <v>-6992.2321071634397</v>
      </c>
      <c r="O40" s="205">
        <v>0</v>
      </c>
      <c r="P40" s="205">
        <v>0</v>
      </c>
      <c r="Q40" s="205">
        <v>0</v>
      </c>
      <c r="R40" s="206">
        <f t="shared" si="9"/>
        <v>-6992.2321071634397</v>
      </c>
    </row>
    <row r="41" spans="1:18" x14ac:dyDescent="0.2">
      <c r="A41" s="124">
        <v>10</v>
      </c>
      <c r="B41" s="197">
        <f t="shared" si="4"/>
        <v>44470</v>
      </c>
      <c r="C41" s="221">
        <f t="shared" si="10"/>
        <v>44503</v>
      </c>
      <c r="D41" s="221">
        <f t="shared" si="10"/>
        <v>44524</v>
      </c>
      <c r="E41" s="54" t="s">
        <v>22</v>
      </c>
      <c r="F41" s="162">
        <v>9</v>
      </c>
      <c r="G41" s="200">
        <v>2777</v>
      </c>
      <c r="H41" s="201">
        <f t="shared" si="5"/>
        <v>7.0559102035395256</v>
      </c>
      <c r="I41" s="201">
        <f t="shared" si="1"/>
        <v>5.1121348776600728</v>
      </c>
      <c r="J41" s="202">
        <f t="shared" si="2"/>
        <v>14196.398555262022</v>
      </c>
      <c r="K41" s="209">
        <f t="shared" si="11"/>
        <v>19594.262635229261</v>
      </c>
      <c r="L41" s="208">
        <f t="shared" si="12"/>
        <v>-5397.8640799672394</v>
      </c>
      <c r="M41" s="205">
        <f t="shared" si="7"/>
        <v>-172.25312071918074</v>
      </c>
      <c r="N41" s="206">
        <f t="shared" si="8"/>
        <v>-5570.1172006864199</v>
      </c>
      <c r="O41" s="205">
        <v>0</v>
      </c>
      <c r="P41" s="205">
        <v>0</v>
      </c>
      <c r="Q41" s="205">
        <v>0</v>
      </c>
      <c r="R41" s="206">
        <f t="shared" si="9"/>
        <v>-5570.1172006864199</v>
      </c>
    </row>
    <row r="42" spans="1:18" x14ac:dyDescent="0.2">
      <c r="A42" s="162">
        <v>11</v>
      </c>
      <c r="B42" s="197">
        <f t="shared" si="4"/>
        <v>44501</v>
      </c>
      <c r="C42" s="221">
        <f t="shared" si="10"/>
        <v>44533</v>
      </c>
      <c r="D42" s="221">
        <f t="shared" si="10"/>
        <v>44557</v>
      </c>
      <c r="E42" s="54" t="s">
        <v>22</v>
      </c>
      <c r="F42" s="162">
        <v>9</v>
      </c>
      <c r="G42" s="200">
        <v>2284</v>
      </c>
      <c r="H42" s="201">
        <f t="shared" si="5"/>
        <v>7.0559102035395256</v>
      </c>
      <c r="I42" s="201">
        <f t="shared" si="1"/>
        <v>5.1121348776600728</v>
      </c>
      <c r="J42" s="202">
        <f t="shared" si="2"/>
        <v>11676.116060575607</v>
      </c>
      <c r="K42" s="209">
        <f t="shared" si="11"/>
        <v>16115.698904884277</v>
      </c>
      <c r="L42" s="208">
        <f t="shared" si="12"/>
        <v>-4439.5828443086702</v>
      </c>
      <c r="M42" s="205">
        <f t="shared" si="7"/>
        <v>-141.67307444098265</v>
      </c>
      <c r="N42" s="206">
        <f t="shared" si="8"/>
        <v>-4581.2559187496527</v>
      </c>
      <c r="O42" s="205">
        <v>0</v>
      </c>
      <c r="P42" s="205">
        <v>0</v>
      </c>
      <c r="Q42" s="205">
        <v>0</v>
      </c>
      <c r="R42" s="206">
        <f t="shared" si="9"/>
        <v>-4581.2559187496527</v>
      </c>
    </row>
    <row r="43" spans="1:18" x14ac:dyDescent="0.2">
      <c r="A43" s="162">
        <v>12</v>
      </c>
      <c r="B43" s="197">
        <f t="shared" si="4"/>
        <v>44531</v>
      </c>
      <c r="C43" s="221">
        <f t="shared" si="10"/>
        <v>44566</v>
      </c>
      <c r="D43" s="221">
        <f t="shared" si="10"/>
        <v>44585</v>
      </c>
      <c r="E43" s="54" t="s">
        <v>22</v>
      </c>
      <c r="F43" s="162">
        <v>9</v>
      </c>
      <c r="G43" s="212">
        <v>2425</v>
      </c>
      <c r="H43" s="213">
        <f t="shared" si="5"/>
        <v>7.0559102035395256</v>
      </c>
      <c r="I43" s="213">
        <f t="shared" si="1"/>
        <v>5.1121348776600728</v>
      </c>
      <c r="J43" s="214">
        <f t="shared" si="2"/>
        <v>12396.927078325676</v>
      </c>
      <c r="K43" s="215">
        <f t="shared" si="11"/>
        <v>17110.582243583351</v>
      </c>
      <c r="L43" s="216">
        <f t="shared" si="12"/>
        <v>-4713.6551652576745</v>
      </c>
      <c r="M43" s="205">
        <f t="shared" si="7"/>
        <v>-150.41909173353017</v>
      </c>
      <c r="N43" s="206">
        <f t="shared" si="8"/>
        <v>-4864.0742569912045</v>
      </c>
      <c r="O43" s="205">
        <v>0</v>
      </c>
      <c r="P43" s="205">
        <v>0</v>
      </c>
      <c r="Q43" s="205">
        <v>0</v>
      </c>
      <c r="R43" s="206">
        <f t="shared" si="9"/>
        <v>-4864.0742569912045</v>
      </c>
    </row>
    <row r="44" spans="1:18" x14ac:dyDescent="0.2">
      <c r="A44" s="124">
        <v>1</v>
      </c>
      <c r="B44" s="217">
        <f t="shared" ref="B44:B55" si="13">DATE($R$1,A44,1)</f>
        <v>44197</v>
      </c>
      <c r="C44" s="218">
        <f t="shared" ref="C44:D55" si="14">+C32</f>
        <v>44230</v>
      </c>
      <c r="D44" s="218">
        <f t="shared" si="14"/>
        <v>44251</v>
      </c>
      <c r="E44" s="219" t="s">
        <v>80</v>
      </c>
      <c r="F44" s="220">
        <v>9</v>
      </c>
      <c r="G44" s="200">
        <v>146</v>
      </c>
      <c r="H44" s="201">
        <f t="shared" si="5"/>
        <v>7.0559102035395256</v>
      </c>
      <c r="I44" s="201">
        <f t="shared" si="1"/>
        <v>5.1121348776600728</v>
      </c>
      <c r="J44" s="205">
        <f t="shared" ref="J44:J55" si="15">+$G44*I44</f>
        <v>746.37169213837058</v>
      </c>
      <c r="K44" s="209">
        <f t="shared" ref="K44:K55" si="16">+$G44*H44</f>
        <v>1030.1628897167707</v>
      </c>
      <c r="L44" s="208">
        <f t="shared" ref="L44:L55" si="17">+J44-K44</f>
        <v>-283.7911975784001</v>
      </c>
      <c r="M44" s="205">
        <f t="shared" si="7"/>
        <v>-9.0561597497300639</v>
      </c>
      <c r="N44" s="206">
        <f t="shared" si="8"/>
        <v>-292.84735732813016</v>
      </c>
      <c r="O44" s="205">
        <v>0</v>
      </c>
      <c r="P44" s="205">
        <v>0</v>
      </c>
      <c r="Q44" s="205">
        <v>0</v>
      </c>
      <c r="R44" s="206">
        <f t="shared" si="9"/>
        <v>-292.84735732813016</v>
      </c>
    </row>
    <row r="45" spans="1:18" x14ac:dyDescent="0.2">
      <c r="A45" s="162">
        <v>2</v>
      </c>
      <c r="B45" s="197">
        <f t="shared" si="13"/>
        <v>44228</v>
      </c>
      <c r="C45" s="221">
        <f t="shared" si="14"/>
        <v>44258</v>
      </c>
      <c r="D45" s="221">
        <f t="shared" si="14"/>
        <v>44279</v>
      </c>
      <c r="E45" s="207" t="s">
        <v>80</v>
      </c>
      <c r="F45" s="162">
        <v>9</v>
      </c>
      <c r="G45" s="200">
        <v>212</v>
      </c>
      <c r="H45" s="201">
        <f t="shared" si="5"/>
        <v>7.0559102035395256</v>
      </c>
      <c r="I45" s="201">
        <f t="shared" si="1"/>
        <v>5.1121348776600728</v>
      </c>
      <c r="J45" s="205">
        <f t="shared" si="15"/>
        <v>1083.7725940639355</v>
      </c>
      <c r="K45" s="209">
        <f t="shared" si="16"/>
        <v>1495.8529631503793</v>
      </c>
      <c r="L45" s="208">
        <f t="shared" si="17"/>
        <v>-412.08036908644385</v>
      </c>
      <c r="M45" s="205">
        <f t="shared" si="7"/>
        <v>-13.150040184539545</v>
      </c>
      <c r="N45" s="206">
        <f t="shared" si="8"/>
        <v>-425.23040927098339</v>
      </c>
      <c r="O45" s="205">
        <v>0</v>
      </c>
      <c r="P45" s="205">
        <v>0</v>
      </c>
      <c r="Q45" s="205">
        <v>0</v>
      </c>
      <c r="R45" s="206">
        <f t="shared" si="9"/>
        <v>-425.23040927098339</v>
      </c>
    </row>
    <row r="46" spans="1:18" x14ac:dyDescent="0.2">
      <c r="A46" s="162">
        <v>3</v>
      </c>
      <c r="B46" s="197">
        <f t="shared" si="13"/>
        <v>44256</v>
      </c>
      <c r="C46" s="221">
        <f t="shared" si="14"/>
        <v>44291</v>
      </c>
      <c r="D46" s="221">
        <f t="shared" si="14"/>
        <v>44312</v>
      </c>
      <c r="E46" s="207" t="s">
        <v>80</v>
      </c>
      <c r="F46" s="162">
        <v>9</v>
      </c>
      <c r="G46" s="200">
        <v>125</v>
      </c>
      <c r="H46" s="201">
        <f t="shared" si="5"/>
        <v>7.0559102035395256</v>
      </c>
      <c r="I46" s="201">
        <f t="shared" si="1"/>
        <v>5.1121348776600728</v>
      </c>
      <c r="J46" s="205">
        <f t="shared" si="15"/>
        <v>639.01685970750907</v>
      </c>
      <c r="K46" s="209">
        <f t="shared" si="16"/>
        <v>881.98877544244067</v>
      </c>
      <c r="L46" s="208">
        <f t="shared" si="17"/>
        <v>-242.9719157349316</v>
      </c>
      <c r="M46" s="205">
        <f t="shared" si="7"/>
        <v>-7.7535614295634101</v>
      </c>
      <c r="N46" s="206">
        <f t="shared" si="8"/>
        <v>-250.725477164495</v>
      </c>
      <c r="O46" s="205">
        <v>0</v>
      </c>
      <c r="P46" s="205">
        <v>0</v>
      </c>
      <c r="Q46" s="205">
        <v>0</v>
      </c>
      <c r="R46" s="206">
        <f t="shared" si="9"/>
        <v>-250.725477164495</v>
      </c>
    </row>
    <row r="47" spans="1:18" x14ac:dyDescent="0.2">
      <c r="A47" s="124">
        <v>4</v>
      </c>
      <c r="B47" s="197">
        <f t="shared" si="13"/>
        <v>44287</v>
      </c>
      <c r="C47" s="221">
        <f t="shared" si="14"/>
        <v>44321</v>
      </c>
      <c r="D47" s="221">
        <f t="shared" si="14"/>
        <v>44340</v>
      </c>
      <c r="E47" s="207" t="s">
        <v>80</v>
      </c>
      <c r="F47" s="162">
        <v>9</v>
      </c>
      <c r="G47" s="200">
        <v>92</v>
      </c>
      <c r="H47" s="201">
        <f t="shared" si="5"/>
        <v>7.0559102035395256</v>
      </c>
      <c r="I47" s="201">
        <f t="shared" si="1"/>
        <v>5.1121348776600728</v>
      </c>
      <c r="J47" s="205">
        <f t="shared" si="15"/>
        <v>470.31640874472669</v>
      </c>
      <c r="K47" s="209">
        <f t="shared" si="16"/>
        <v>649.14373872563635</v>
      </c>
      <c r="L47" s="208">
        <f t="shared" si="17"/>
        <v>-178.82732998090967</v>
      </c>
      <c r="M47" s="205">
        <f t="shared" si="7"/>
        <v>-5.7066212121586704</v>
      </c>
      <c r="N47" s="206">
        <f t="shared" si="8"/>
        <v>-184.53395119306833</v>
      </c>
      <c r="O47" s="205">
        <v>0</v>
      </c>
      <c r="P47" s="205">
        <v>0</v>
      </c>
      <c r="Q47" s="205">
        <v>0</v>
      </c>
      <c r="R47" s="206">
        <f t="shared" si="9"/>
        <v>-184.53395119306833</v>
      </c>
    </row>
    <row r="48" spans="1:18" x14ac:dyDescent="0.2">
      <c r="A48" s="162">
        <v>5</v>
      </c>
      <c r="B48" s="197">
        <f t="shared" si="13"/>
        <v>44317</v>
      </c>
      <c r="C48" s="221">
        <f t="shared" si="14"/>
        <v>44350</v>
      </c>
      <c r="D48" s="221">
        <f t="shared" si="14"/>
        <v>44371</v>
      </c>
      <c r="E48" s="207" t="s">
        <v>80</v>
      </c>
      <c r="F48" s="162">
        <v>9</v>
      </c>
      <c r="G48" s="200">
        <v>102</v>
      </c>
      <c r="H48" s="201">
        <f t="shared" si="5"/>
        <v>7.0559102035395256</v>
      </c>
      <c r="I48" s="201">
        <f t="shared" si="1"/>
        <v>5.1121348776600728</v>
      </c>
      <c r="J48" s="205">
        <f t="shared" si="15"/>
        <v>521.4377575213274</v>
      </c>
      <c r="K48" s="209">
        <f t="shared" si="16"/>
        <v>719.70284076103167</v>
      </c>
      <c r="L48" s="208">
        <f t="shared" si="17"/>
        <v>-198.26508323970427</v>
      </c>
      <c r="M48" s="205">
        <f t="shared" si="7"/>
        <v>-6.3269061265237436</v>
      </c>
      <c r="N48" s="206">
        <f t="shared" si="8"/>
        <v>-204.59198936622801</v>
      </c>
      <c r="O48" s="205">
        <v>0</v>
      </c>
      <c r="P48" s="205">
        <v>0</v>
      </c>
      <c r="Q48" s="205">
        <v>0</v>
      </c>
      <c r="R48" s="206">
        <f t="shared" si="9"/>
        <v>-204.59198936622801</v>
      </c>
    </row>
    <row r="49" spans="1:18" x14ac:dyDescent="0.2">
      <c r="A49" s="162">
        <v>6</v>
      </c>
      <c r="B49" s="197">
        <f t="shared" si="13"/>
        <v>44348</v>
      </c>
      <c r="C49" s="221">
        <f t="shared" si="14"/>
        <v>44383</v>
      </c>
      <c r="D49" s="221">
        <f t="shared" si="14"/>
        <v>44401</v>
      </c>
      <c r="E49" s="207" t="s">
        <v>80</v>
      </c>
      <c r="F49" s="162">
        <v>9</v>
      </c>
      <c r="G49" s="200">
        <v>124</v>
      </c>
      <c r="H49" s="201">
        <f t="shared" si="5"/>
        <v>7.0559102035395256</v>
      </c>
      <c r="I49" s="201">
        <f t="shared" si="1"/>
        <v>5.1121348776600728</v>
      </c>
      <c r="J49" s="205">
        <f t="shared" si="15"/>
        <v>633.90472482984899</v>
      </c>
      <c r="K49" s="209">
        <f t="shared" si="16"/>
        <v>874.93286523890117</v>
      </c>
      <c r="L49" s="208">
        <f t="shared" si="17"/>
        <v>-241.02814040905218</v>
      </c>
      <c r="M49" s="205">
        <f t="shared" si="7"/>
        <v>-7.6915329381269029</v>
      </c>
      <c r="N49" s="206">
        <f t="shared" si="8"/>
        <v>-248.71967334717908</v>
      </c>
      <c r="O49" s="205">
        <v>0</v>
      </c>
      <c r="P49" s="205">
        <v>0</v>
      </c>
      <c r="Q49" s="205">
        <v>0</v>
      </c>
      <c r="R49" s="206">
        <f t="shared" si="9"/>
        <v>-248.71967334717908</v>
      </c>
    </row>
    <row r="50" spans="1:18" x14ac:dyDescent="0.2">
      <c r="A50" s="124">
        <v>7</v>
      </c>
      <c r="B50" s="197">
        <f t="shared" si="13"/>
        <v>44378</v>
      </c>
      <c r="C50" s="221">
        <f t="shared" si="14"/>
        <v>44412</v>
      </c>
      <c r="D50" s="221">
        <f t="shared" si="14"/>
        <v>44432</v>
      </c>
      <c r="E50" s="207" t="s">
        <v>80</v>
      </c>
      <c r="F50" s="162">
        <v>9</v>
      </c>
      <c r="G50" s="200">
        <v>138</v>
      </c>
      <c r="H50" s="201">
        <f t="shared" si="5"/>
        <v>7.0559102035395256</v>
      </c>
      <c r="I50" s="201">
        <f t="shared" si="1"/>
        <v>5.1121348776600728</v>
      </c>
      <c r="J50" s="205">
        <f t="shared" si="15"/>
        <v>705.47461311709003</v>
      </c>
      <c r="K50" s="209">
        <f t="shared" si="16"/>
        <v>973.71560808845447</v>
      </c>
      <c r="L50" s="208">
        <f t="shared" si="17"/>
        <v>-268.24099497136444</v>
      </c>
      <c r="M50" s="205">
        <f t="shared" si="7"/>
        <v>-8.559931818238006</v>
      </c>
      <c r="N50" s="206">
        <f t="shared" si="8"/>
        <v>-276.80092678960244</v>
      </c>
      <c r="O50" s="205">
        <v>0</v>
      </c>
      <c r="P50" s="205">
        <v>0</v>
      </c>
      <c r="Q50" s="205">
        <v>0</v>
      </c>
      <c r="R50" s="206">
        <f t="shared" si="9"/>
        <v>-276.80092678960244</v>
      </c>
    </row>
    <row r="51" spans="1:18" x14ac:dyDescent="0.2">
      <c r="A51" s="162">
        <v>8</v>
      </c>
      <c r="B51" s="197">
        <f t="shared" si="13"/>
        <v>44409</v>
      </c>
      <c r="C51" s="221">
        <f t="shared" si="14"/>
        <v>44442</v>
      </c>
      <c r="D51" s="221">
        <f t="shared" si="14"/>
        <v>44463</v>
      </c>
      <c r="E51" s="207" t="s">
        <v>80</v>
      </c>
      <c r="F51" s="162">
        <v>9</v>
      </c>
      <c r="G51" s="200">
        <v>140</v>
      </c>
      <c r="H51" s="201">
        <f t="shared" si="5"/>
        <v>7.0559102035395256</v>
      </c>
      <c r="I51" s="201">
        <f t="shared" si="1"/>
        <v>5.1121348776600728</v>
      </c>
      <c r="J51" s="205">
        <f t="shared" si="15"/>
        <v>715.69888287241019</v>
      </c>
      <c r="K51" s="209">
        <f t="shared" si="16"/>
        <v>987.82742849553358</v>
      </c>
      <c r="L51" s="208">
        <f t="shared" si="17"/>
        <v>-272.12854562312339</v>
      </c>
      <c r="M51" s="205">
        <f t="shared" si="7"/>
        <v>-8.6839888011110205</v>
      </c>
      <c r="N51" s="206">
        <f t="shared" si="8"/>
        <v>-280.8125344242344</v>
      </c>
      <c r="O51" s="205">
        <v>0</v>
      </c>
      <c r="P51" s="205">
        <v>0</v>
      </c>
      <c r="Q51" s="205">
        <v>0</v>
      </c>
      <c r="R51" s="206">
        <f t="shared" si="9"/>
        <v>-280.8125344242344</v>
      </c>
    </row>
    <row r="52" spans="1:18" x14ac:dyDescent="0.2">
      <c r="A52" s="162">
        <v>9</v>
      </c>
      <c r="B52" s="197">
        <f t="shared" si="13"/>
        <v>44440</v>
      </c>
      <c r="C52" s="221">
        <f t="shared" si="14"/>
        <v>44474</v>
      </c>
      <c r="D52" s="221">
        <f t="shared" si="14"/>
        <v>44494</v>
      </c>
      <c r="E52" s="207" t="s">
        <v>80</v>
      </c>
      <c r="F52" s="162">
        <v>9</v>
      </c>
      <c r="G52" s="200">
        <v>140</v>
      </c>
      <c r="H52" s="201">
        <f t="shared" si="5"/>
        <v>7.0559102035395256</v>
      </c>
      <c r="I52" s="201">
        <f t="shared" si="1"/>
        <v>5.1121348776600728</v>
      </c>
      <c r="J52" s="205">
        <f t="shared" si="15"/>
        <v>715.69888287241019</v>
      </c>
      <c r="K52" s="209">
        <f t="shared" si="16"/>
        <v>987.82742849553358</v>
      </c>
      <c r="L52" s="208">
        <f t="shared" si="17"/>
        <v>-272.12854562312339</v>
      </c>
      <c r="M52" s="205">
        <f t="shared" si="7"/>
        <v>-8.6839888011110205</v>
      </c>
      <c r="N52" s="206">
        <f t="shared" si="8"/>
        <v>-280.8125344242344</v>
      </c>
      <c r="O52" s="205">
        <v>0</v>
      </c>
      <c r="P52" s="205">
        <v>0</v>
      </c>
      <c r="Q52" s="205">
        <v>0</v>
      </c>
      <c r="R52" s="206">
        <f t="shared" si="9"/>
        <v>-280.8125344242344</v>
      </c>
    </row>
    <row r="53" spans="1:18" x14ac:dyDescent="0.2">
      <c r="A53" s="124">
        <v>10</v>
      </c>
      <c r="B53" s="197">
        <f t="shared" si="13"/>
        <v>44470</v>
      </c>
      <c r="C53" s="221">
        <f t="shared" si="14"/>
        <v>44503</v>
      </c>
      <c r="D53" s="221">
        <f t="shared" si="14"/>
        <v>44524</v>
      </c>
      <c r="E53" s="207" t="s">
        <v>80</v>
      </c>
      <c r="F53" s="162">
        <v>9</v>
      </c>
      <c r="G53" s="200">
        <v>106</v>
      </c>
      <c r="H53" s="201">
        <f t="shared" si="5"/>
        <v>7.0559102035395256</v>
      </c>
      <c r="I53" s="201">
        <f t="shared" si="1"/>
        <v>5.1121348776600728</v>
      </c>
      <c r="J53" s="205">
        <f t="shared" si="15"/>
        <v>541.88629703196773</v>
      </c>
      <c r="K53" s="209">
        <f t="shared" si="16"/>
        <v>747.92648157518965</v>
      </c>
      <c r="L53" s="208">
        <f t="shared" si="17"/>
        <v>-206.04018454322193</v>
      </c>
      <c r="M53" s="205">
        <f t="shared" si="7"/>
        <v>-6.5750200922697726</v>
      </c>
      <c r="N53" s="206">
        <f t="shared" si="8"/>
        <v>-212.61520463549169</v>
      </c>
      <c r="O53" s="205">
        <v>0</v>
      </c>
      <c r="P53" s="205">
        <v>0</v>
      </c>
      <c r="Q53" s="205">
        <v>0</v>
      </c>
      <c r="R53" s="206">
        <f t="shared" si="9"/>
        <v>-212.61520463549169</v>
      </c>
    </row>
    <row r="54" spans="1:18" x14ac:dyDescent="0.2">
      <c r="A54" s="162">
        <v>11</v>
      </c>
      <c r="B54" s="197">
        <f t="shared" si="13"/>
        <v>44501</v>
      </c>
      <c r="C54" s="221">
        <f t="shared" si="14"/>
        <v>44533</v>
      </c>
      <c r="D54" s="221">
        <f t="shared" si="14"/>
        <v>44557</v>
      </c>
      <c r="E54" s="207" t="s">
        <v>80</v>
      </c>
      <c r="F54" s="162">
        <v>9</v>
      </c>
      <c r="G54" s="200">
        <v>107</v>
      </c>
      <c r="H54" s="201">
        <f t="shared" si="5"/>
        <v>7.0559102035395256</v>
      </c>
      <c r="I54" s="201">
        <f t="shared" si="1"/>
        <v>5.1121348776600728</v>
      </c>
      <c r="J54" s="205">
        <f t="shared" si="15"/>
        <v>546.99843190962781</v>
      </c>
      <c r="K54" s="209">
        <f t="shared" si="16"/>
        <v>754.98239177872927</v>
      </c>
      <c r="L54" s="208">
        <f t="shared" si="17"/>
        <v>-207.98395986910145</v>
      </c>
      <c r="M54" s="205">
        <f t="shared" si="7"/>
        <v>-6.6370485837062798</v>
      </c>
      <c r="N54" s="206">
        <f t="shared" si="8"/>
        <v>-214.62100845280773</v>
      </c>
      <c r="O54" s="205">
        <v>0</v>
      </c>
      <c r="P54" s="205">
        <v>0</v>
      </c>
      <c r="Q54" s="205">
        <v>0</v>
      </c>
      <c r="R54" s="206">
        <f t="shared" si="9"/>
        <v>-214.62100845280773</v>
      </c>
    </row>
    <row r="55" spans="1:18" x14ac:dyDescent="0.2">
      <c r="A55" s="162">
        <v>12</v>
      </c>
      <c r="B55" s="197">
        <f t="shared" si="13"/>
        <v>44531</v>
      </c>
      <c r="C55" s="221">
        <f t="shared" si="14"/>
        <v>44566</v>
      </c>
      <c r="D55" s="221">
        <f t="shared" si="14"/>
        <v>44585</v>
      </c>
      <c r="E55" s="207" t="s">
        <v>80</v>
      </c>
      <c r="F55" s="162">
        <v>9</v>
      </c>
      <c r="G55" s="212">
        <v>110</v>
      </c>
      <c r="H55" s="213">
        <f t="shared" si="5"/>
        <v>7.0559102035395256</v>
      </c>
      <c r="I55" s="213">
        <f t="shared" si="1"/>
        <v>5.1121348776600728</v>
      </c>
      <c r="J55" s="214">
        <f t="shared" si="15"/>
        <v>562.33483654260806</v>
      </c>
      <c r="K55" s="215">
        <f t="shared" si="16"/>
        <v>776.15012238934787</v>
      </c>
      <c r="L55" s="216">
        <f t="shared" si="17"/>
        <v>-213.81528584673981</v>
      </c>
      <c r="M55" s="205">
        <f t="shared" si="7"/>
        <v>-6.8231340580158015</v>
      </c>
      <c r="N55" s="206">
        <f t="shared" si="8"/>
        <v>-220.63841990475561</v>
      </c>
      <c r="O55" s="205">
        <v>0</v>
      </c>
      <c r="P55" s="205">
        <v>0</v>
      </c>
      <c r="Q55" s="205">
        <v>0</v>
      </c>
      <c r="R55" s="206">
        <f t="shared" si="9"/>
        <v>-220.63841990475561</v>
      </c>
    </row>
    <row r="56" spans="1:18" s="222" customFormat="1" x14ac:dyDescent="0.2">
      <c r="A56" s="124">
        <v>1</v>
      </c>
      <c r="B56" s="217">
        <f t="shared" si="4"/>
        <v>44197</v>
      </c>
      <c r="C56" s="218">
        <f t="shared" ref="C56:D67" si="18">+C32</f>
        <v>44230</v>
      </c>
      <c r="D56" s="218">
        <f t="shared" si="18"/>
        <v>44251</v>
      </c>
      <c r="E56" s="219" t="s">
        <v>14</v>
      </c>
      <c r="F56" s="220">
        <v>9</v>
      </c>
      <c r="G56" s="200">
        <v>767</v>
      </c>
      <c r="H56" s="201">
        <f t="shared" si="5"/>
        <v>7.0559102035395256</v>
      </c>
      <c r="I56" s="201">
        <f t="shared" si="1"/>
        <v>5.1121348776600728</v>
      </c>
      <c r="J56" s="202">
        <f t="shared" si="2"/>
        <v>3921.0074511652761</v>
      </c>
      <c r="K56" s="203">
        <f t="shared" si="11"/>
        <v>5411.8831261148162</v>
      </c>
      <c r="L56" s="204">
        <f t="shared" si="12"/>
        <v>-1490.8756749495401</v>
      </c>
      <c r="M56" s="205">
        <f t="shared" si="7"/>
        <v>-47.575852931801087</v>
      </c>
      <c r="N56" s="206">
        <f t="shared" si="8"/>
        <v>-1538.4515278813412</v>
      </c>
      <c r="O56" s="205">
        <v>0</v>
      </c>
      <c r="P56" s="205">
        <v>0</v>
      </c>
      <c r="Q56" s="205">
        <v>0</v>
      </c>
      <c r="R56" s="206">
        <f t="shared" si="9"/>
        <v>-1538.4515278813412</v>
      </c>
    </row>
    <row r="57" spans="1:18" x14ac:dyDescent="0.2">
      <c r="A57" s="162">
        <v>2</v>
      </c>
      <c r="B57" s="197">
        <f t="shared" si="4"/>
        <v>44228</v>
      </c>
      <c r="C57" s="221">
        <f t="shared" si="18"/>
        <v>44258</v>
      </c>
      <c r="D57" s="221">
        <f t="shared" si="18"/>
        <v>44279</v>
      </c>
      <c r="E57" s="207" t="s">
        <v>14</v>
      </c>
      <c r="F57" s="162">
        <v>9</v>
      </c>
      <c r="G57" s="200">
        <v>1062</v>
      </c>
      <c r="H57" s="201">
        <f t="shared" si="5"/>
        <v>7.0559102035395256</v>
      </c>
      <c r="I57" s="201">
        <f t="shared" si="1"/>
        <v>5.1121348776600728</v>
      </c>
      <c r="J57" s="202">
        <f t="shared" si="2"/>
        <v>5429.0872400749977</v>
      </c>
      <c r="K57" s="203">
        <f t="shared" si="11"/>
        <v>7493.376636158976</v>
      </c>
      <c r="L57" s="204">
        <f t="shared" si="12"/>
        <v>-2064.2893960839783</v>
      </c>
      <c r="M57" s="205">
        <f t="shared" si="7"/>
        <v>-65.874257905570744</v>
      </c>
      <c r="N57" s="206">
        <f t="shared" si="8"/>
        <v>-2130.1636539895489</v>
      </c>
      <c r="O57" s="205">
        <v>0</v>
      </c>
      <c r="P57" s="205">
        <v>0</v>
      </c>
      <c r="Q57" s="205">
        <v>0</v>
      </c>
      <c r="R57" s="206">
        <f t="shared" si="9"/>
        <v>-2130.1636539895489</v>
      </c>
    </row>
    <row r="58" spans="1:18" x14ac:dyDescent="0.2">
      <c r="A58" s="162">
        <v>3</v>
      </c>
      <c r="B58" s="197">
        <f t="shared" si="4"/>
        <v>44256</v>
      </c>
      <c r="C58" s="221">
        <f t="shared" si="18"/>
        <v>44291</v>
      </c>
      <c r="D58" s="221">
        <f t="shared" si="18"/>
        <v>44312</v>
      </c>
      <c r="E58" s="207" t="s">
        <v>14</v>
      </c>
      <c r="F58" s="162">
        <v>9</v>
      </c>
      <c r="G58" s="200">
        <v>599</v>
      </c>
      <c r="H58" s="201">
        <f t="shared" si="5"/>
        <v>7.0559102035395256</v>
      </c>
      <c r="I58" s="201">
        <f t="shared" si="1"/>
        <v>5.1121348776600728</v>
      </c>
      <c r="J58" s="202">
        <f t="shared" si="2"/>
        <v>3062.1687917183835</v>
      </c>
      <c r="K58" s="203">
        <f t="shared" si="11"/>
        <v>4226.4902119201761</v>
      </c>
      <c r="L58" s="204">
        <f>+J58-K58</f>
        <v>-1164.3214202017925</v>
      </c>
      <c r="M58" s="205">
        <f t="shared" si="7"/>
        <v>-37.155066370467864</v>
      </c>
      <c r="N58" s="206">
        <f t="shared" si="8"/>
        <v>-1201.4764865722605</v>
      </c>
      <c r="O58" s="205">
        <v>0</v>
      </c>
      <c r="P58" s="205">
        <v>0</v>
      </c>
      <c r="Q58" s="205">
        <v>0</v>
      </c>
      <c r="R58" s="206">
        <f t="shared" si="9"/>
        <v>-1201.4764865722605</v>
      </c>
    </row>
    <row r="59" spans="1:18" x14ac:dyDescent="0.2">
      <c r="A59" s="124">
        <v>4</v>
      </c>
      <c r="B59" s="197">
        <f t="shared" si="4"/>
        <v>44287</v>
      </c>
      <c r="C59" s="221">
        <f t="shared" si="18"/>
        <v>44321</v>
      </c>
      <c r="D59" s="221">
        <f t="shared" si="18"/>
        <v>44340</v>
      </c>
      <c r="E59" s="207" t="s">
        <v>14</v>
      </c>
      <c r="F59" s="162">
        <v>9</v>
      </c>
      <c r="G59" s="200">
        <v>447</v>
      </c>
      <c r="H59" s="201">
        <f t="shared" si="5"/>
        <v>7.0559102035395256</v>
      </c>
      <c r="I59" s="201">
        <f t="shared" si="1"/>
        <v>5.1121348776600728</v>
      </c>
      <c r="J59" s="202">
        <f t="shared" si="2"/>
        <v>2285.1242903140524</v>
      </c>
      <c r="K59" s="203">
        <f t="shared" si="11"/>
        <v>3153.991860982168</v>
      </c>
      <c r="L59" s="204">
        <f t="shared" ref="L59:L81" si="19">+J59-K59</f>
        <v>-868.8675706681156</v>
      </c>
      <c r="M59" s="205">
        <f t="shared" si="7"/>
        <v>-27.726735672118753</v>
      </c>
      <c r="N59" s="206">
        <f t="shared" si="8"/>
        <v>-896.59430634023431</v>
      </c>
      <c r="O59" s="205">
        <v>0</v>
      </c>
      <c r="P59" s="205">
        <v>0</v>
      </c>
      <c r="Q59" s="205">
        <v>0</v>
      </c>
      <c r="R59" s="206">
        <f t="shared" si="9"/>
        <v>-896.59430634023431</v>
      </c>
    </row>
    <row r="60" spans="1:18" x14ac:dyDescent="0.2">
      <c r="A60" s="162">
        <v>5</v>
      </c>
      <c r="B60" s="197">
        <f t="shared" si="4"/>
        <v>44317</v>
      </c>
      <c r="C60" s="221">
        <f t="shared" si="18"/>
        <v>44350</v>
      </c>
      <c r="D60" s="221">
        <f t="shared" si="18"/>
        <v>44371</v>
      </c>
      <c r="E60" s="54" t="s">
        <v>14</v>
      </c>
      <c r="F60" s="162">
        <v>9</v>
      </c>
      <c r="G60" s="200">
        <v>603</v>
      </c>
      <c r="H60" s="201">
        <f t="shared" si="5"/>
        <v>7.0559102035395256</v>
      </c>
      <c r="I60" s="201">
        <f t="shared" si="1"/>
        <v>5.1121348776600728</v>
      </c>
      <c r="J60" s="202">
        <f t="shared" si="2"/>
        <v>3082.6173312290239</v>
      </c>
      <c r="K60" s="203">
        <f t="shared" si="11"/>
        <v>4254.7138527343341</v>
      </c>
      <c r="L60" s="204">
        <f t="shared" si="19"/>
        <v>-1172.0965215053102</v>
      </c>
      <c r="M60" s="205">
        <f t="shared" si="7"/>
        <v>-37.403180336213893</v>
      </c>
      <c r="N60" s="206">
        <f t="shared" si="8"/>
        <v>-1209.499701841524</v>
      </c>
      <c r="O60" s="205">
        <v>0</v>
      </c>
      <c r="P60" s="205">
        <v>0</v>
      </c>
      <c r="Q60" s="205">
        <v>0</v>
      </c>
      <c r="R60" s="206">
        <f t="shared" si="9"/>
        <v>-1209.499701841524</v>
      </c>
    </row>
    <row r="61" spans="1:18" x14ac:dyDescent="0.2">
      <c r="A61" s="162">
        <v>6</v>
      </c>
      <c r="B61" s="197">
        <f t="shared" si="4"/>
        <v>44348</v>
      </c>
      <c r="C61" s="221">
        <f t="shared" si="18"/>
        <v>44383</v>
      </c>
      <c r="D61" s="221">
        <f t="shared" si="18"/>
        <v>44401</v>
      </c>
      <c r="E61" s="54" t="s">
        <v>14</v>
      </c>
      <c r="F61" s="162">
        <v>9</v>
      </c>
      <c r="G61" s="200">
        <v>840</v>
      </c>
      <c r="H61" s="201">
        <f t="shared" si="5"/>
        <v>7.0559102035395256</v>
      </c>
      <c r="I61" s="201">
        <f t="shared" si="1"/>
        <v>5.1121348776600728</v>
      </c>
      <c r="J61" s="202">
        <f t="shared" si="2"/>
        <v>4294.1932972344612</v>
      </c>
      <c r="K61" s="203">
        <f t="shared" si="11"/>
        <v>5926.9645709732013</v>
      </c>
      <c r="L61" s="208">
        <f t="shared" si="19"/>
        <v>-1632.7712737387401</v>
      </c>
      <c r="M61" s="205">
        <f t="shared" si="7"/>
        <v>-52.103932806666123</v>
      </c>
      <c r="N61" s="206">
        <f t="shared" si="8"/>
        <v>-1684.8752065454062</v>
      </c>
      <c r="O61" s="205">
        <v>0</v>
      </c>
      <c r="P61" s="205">
        <v>0</v>
      </c>
      <c r="Q61" s="205">
        <v>0</v>
      </c>
      <c r="R61" s="206">
        <f t="shared" si="9"/>
        <v>-1684.8752065454062</v>
      </c>
    </row>
    <row r="62" spans="1:18" x14ac:dyDescent="0.2">
      <c r="A62" s="124">
        <v>7</v>
      </c>
      <c r="B62" s="197">
        <f t="shared" si="4"/>
        <v>44378</v>
      </c>
      <c r="C62" s="221">
        <f t="shared" si="18"/>
        <v>44412</v>
      </c>
      <c r="D62" s="221">
        <f t="shared" si="18"/>
        <v>44432</v>
      </c>
      <c r="E62" s="54" t="s">
        <v>14</v>
      </c>
      <c r="F62" s="162">
        <v>9</v>
      </c>
      <c r="G62" s="200">
        <v>926</v>
      </c>
      <c r="H62" s="201">
        <f t="shared" si="5"/>
        <v>7.0559102035395256</v>
      </c>
      <c r="I62" s="201">
        <f t="shared" si="1"/>
        <v>5.1121348776600728</v>
      </c>
      <c r="J62" s="202">
        <f t="shared" si="2"/>
        <v>4733.8368967132274</v>
      </c>
      <c r="K62" s="209">
        <f t="shared" si="11"/>
        <v>6533.7728484776007</v>
      </c>
      <c r="L62" s="208">
        <f t="shared" si="19"/>
        <v>-1799.9359517643734</v>
      </c>
      <c r="M62" s="205">
        <f t="shared" si="7"/>
        <v>-57.438383070205738</v>
      </c>
      <c r="N62" s="206">
        <f t="shared" si="8"/>
        <v>-1857.374334834579</v>
      </c>
      <c r="O62" s="205">
        <v>0</v>
      </c>
      <c r="P62" s="205">
        <v>0</v>
      </c>
      <c r="Q62" s="205">
        <v>0</v>
      </c>
      <c r="R62" s="206">
        <f t="shared" si="9"/>
        <v>-1857.374334834579</v>
      </c>
    </row>
    <row r="63" spans="1:18" x14ac:dyDescent="0.2">
      <c r="A63" s="162">
        <v>8</v>
      </c>
      <c r="B63" s="197">
        <f t="shared" si="4"/>
        <v>44409</v>
      </c>
      <c r="C63" s="221">
        <f t="shared" si="18"/>
        <v>44442</v>
      </c>
      <c r="D63" s="221">
        <f t="shared" si="18"/>
        <v>44463</v>
      </c>
      <c r="E63" s="54" t="s">
        <v>14</v>
      </c>
      <c r="F63" s="162">
        <v>9</v>
      </c>
      <c r="G63" s="200">
        <v>943</v>
      </c>
      <c r="H63" s="201">
        <f t="shared" si="5"/>
        <v>7.0559102035395256</v>
      </c>
      <c r="I63" s="201">
        <f t="shared" si="1"/>
        <v>5.1121348776600728</v>
      </c>
      <c r="J63" s="202">
        <f t="shared" si="2"/>
        <v>4820.7431896334483</v>
      </c>
      <c r="K63" s="209">
        <f t="shared" si="11"/>
        <v>6653.7233219377722</v>
      </c>
      <c r="L63" s="208">
        <f t="shared" si="19"/>
        <v>-1832.9801323043239</v>
      </c>
      <c r="M63" s="205">
        <f t="shared" si="7"/>
        <v>-58.492867424626375</v>
      </c>
      <c r="N63" s="206">
        <f t="shared" si="8"/>
        <v>-1891.4729997289503</v>
      </c>
      <c r="O63" s="205">
        <v>0</v>
      </c>
      <c r="P63" s="205">
        <v>0</v>
      </c>
      <c r="Q63" s="205">
        <v>0</v>
      </c>
      <c r="R63" s="206">
        <f t="shared" si="9"/>
        <v>-1891.4729997289503</v>
      </c>
    </row>
    <row r="64" spans="1:18" x14ac:dyDescent="0.2">
      <c r="A64" s="162">
        <v>9</v>
      </c>
      <c r="B64" s="197">
        <f t="shared" si="4"/>
        <v>44440</v>
      </c>
      <c r="C64" s="221">
        <f t="shared" si="18"/>
        <v>44474</v>
      </c>
      <c r="D64" s="221">
        <f t="shared" si="18"/>
        <v>44494</v>
      </c>
      <c r="E64" s="54" t="s">
        <v>14</v>
      </c>
      <c r="F64" s="162">
        <v>9</v>
      </c>
      <c r="G64" s="200">
        <v>913</v>
      </c>
      <c r="H64" s="201">
        <f t="shared" si="5"/>
        <v>7.0559102035395256</v>
      </c>
      <c r="I64" s="201">
        <f t="shared" ref="I64:I107" si="20">$J$3</f>
        <v>5.1121348776600728</v>
      </c>
      <c r="J64" s="202">
        <f t="shared" si="2"/>
        <v>4667.3791433036467</v>
      </c>
      <c r="K64" s="209">
        <f t="shared" si="11"/>
        <v>6442.0460158315873</v>
      </c>
      <c r="L64" s="208">
        <f t="shared" si="19"/>
        <v>-1774.6668725279405</v>
      </c>
      <c r="M64" s="205">
        <f t="shared" si="7"/>
        <v>-56.632012681531151</v>
      </c>
      <c r="N64" s="206">
        <f t="shared" si="8"/>
        <v>-1831.2988852094718</v>
      </c>
      <c r="O64" s="205">
        <v>0</v>
      </c>
      <c r="P64" s="205">
        <v>0</v>
      </c>
      <c r="Q64" s="205">
        <v>0</v>
      </c>
      <c r="R64" s="206">
        <f t="shared" si="9"/>
        <v>-1831.2988852094718</v>
      </c>
    </row>
    <row r="65" spans="1:18" x14ac:dyDescent="0.2">
      <c r="A65" s="124">
        <v>10</v>
      </c>
      <c r="B65" s="197">
        <f t="shared" si="4"/>
        <v>44470</v>
      </c>
      <c r="C65" s="221">
        <f t="shared" si="18"/>
        <v>44503</v>
      </c>
      <c r="D65" s="221">
        <f t="shared" si="18"/>
        <v>44524</v>
      </c>
      <c r="E65" s="54" t="s">
        <v>14</v>
      </c>
      <c r="F65" s="162">
        <v>9</v>
      </c>
      <c r="G65" s="200">
        <v>681</v>
      </c>
      <c r="H65" s="201">
        <f t="shared" si="5"/>
        <v>7.0559102035395256</v>
      </c>
      <c r="I65" s="201">
        <f t="shared" si="20"/>
        <v>5.1121348776600728</v>
      </c>
      <c r="J65" s="202">
        <f t="shared" si="2"/>
        <v>3481.3638516865094</v>
      </c>
      <c r="K65" s="209">
        <f t="shared" si="11"/>
        <v>4805.0748486104167</v>
      </c>
      <c r="L65" s="208">
        <f t="shared" si="19"/>
        <v>-1323.7109969239073</v>
      </c>
      <c r="M65" s="205">
        <f t="shared" si="7"/>
        <v>-42.241402668261465</v>
      </c>
      <c r="N65" s="206">
        <f t="shared" si="8"/>
        <v>-1365.9523995921688</v>
      </c>
      <c r="O65" s="205">
        <v>0</v>
      </c>
      <c r="P65" s="205">
        <v>0</v>
      </c>
      <c r="Q65" s="205">
        <v>0</v>
      </c>
      <c r="R65" s="206">
        <f t="shared" si="9"/>
        <v>-1365.9523995921688</v>
      </c>
    </row>
    <row r="66" spans="1:18" x14ac:dyDescent="0.2">
      <c r="A66" s="162">
        <v>11</v>
      </c>
      <c r="B66" s="197">
        <f t="shared" si="4"/>
        <v>44501</v>
      </c>
      <c r="C66" s="221">
        <f t="shared" si="18"/>
        <v>44533</v>
      </c>
      <c r="D66" s="221">
        <f t="shared" si="18"/>
        <v>44557</v>
      </c>
      <c r="E66" s="54" t="s">
        <v>14</v>
      </c>
      <c r="F66" s="162">
        <v>9</v>
      </c>
      <c r="G66" s="200">
        <v>652</v>
      </c>
      <c r="H66" s="201">
        <f t="shared" si="5"/>
        <v>7.0559102035395256</v>
      </c>
      <c r="I66" s="201">
        <f t="shared" si="20"/>
        <v>5.1121348776600728</v>
      </c>
      <c r="J66" s="202">
        <f t="shared" si="2"/>
        <v>3333.1119402343675</v>
      </c>
      <c r="K66" s="209">
        <f t="shared" si="11"/>
        <v>4600.4534527077703</v>
      </c>
      <c r="L66" s="208">
        <f t="shared" si="19"/>
        <v>-1267.3415124734029</v>
      </c>
      <c r="M66" s="205">
        <f t="shared" si="7"/>
        <v>-40.442576416602748</v>
      </c>
      <c r="N66" s="206">
        <f t="shared" si="8"/>
        <v>-1307.7840888900057</v>
      </c>
      <c r="O66" s="205">
        <v>0</v>
      </c>
      <c r="P66" s="205">
        <v>0</v>
      </c>
      <c r="Q66" s="205">
        <v>0</v>
      </c>
      <c r="R66" s="206">
        <f t="shared" si="9"/>
        <v>-1307.7840888900057</v>
      </c>
    </row>
    <row r="67" spans="1:18" s="225" customFormat="1" x14ac:dyDescent="0.2">
      <c r="A67" s="162">
        <v>12</v>
      </c>
      <c r="B67" s="223">
        <f t="shared" si="4"/>
        <v>44531</v>
      </c>
      <c r="C67" s="221">
        <f t="shared" si="18"/>
        <v>44566</v>
      </c>
      <c r="D67" s="221">
        <f t="shared" si="18"/>
        <v>44585</v>
      </c>
      <c r="E67" s="224" t="s">
        <v>14</v>
      </c>
      <c r="F67" s="173">
        <v>9</v>
      </c>
      <c r="G67" s="212">
        <v>634</v>
      </c>
      <c r="H67" s="213">
        <f t="shared" si="5"/>
        <v>7.0559102035395256</v>
      </c>
      <c r="I67" s="213">
        <f t="shared" si="20"/>
        <v>5.1121348776600728</v>
      </c>
      <c r="J67" s="214">
        <f t="shared" si="2"/>
        <v>3241.093512436486</v>
      </c>
      <c r="K67" s="215">
        <f t="shared" si="11"/>
        <v>4473.4470690440594</v>
      </c>
      <c r="L67" s="216">
        <f t="shared" si="19"/>
        <v>-1232.3535566075734</v>
      </c>
      <c r="M67" s="205">
        <f t="shared" si="7"/>
        <v>-39.326063570745617</v>
      </c>
      <c r="N67" s="206">
        <f t="shared" si="8"/>
        <v>-1271.6796201783191</v>
      </c>
      <c r="O67" s="205">
        <v>0</v>
      </c>
      <c r="P67" s="205">
        <v>0</v>
      </c>
      <c r="Q67" s="205">
        <v>0</v>
      </c>
      <c r="R67" s="206">
        <f t="shared" si="9"/>
        <v>-1271.6796201783191</v>
      </c>
    </row>
    <row r="68" spans="1:18" x14ac:dyDescent="0.2">
      <c r="A68" s="124">
        <v>1</v>
      </c>
      <c r="B68" s="197">
        <f t="shared" si="4"/>
        <v>44197</v>
      </c>
      <c r="C68" s="218">
        <f t="shared" ref="C68:D79" si="21">+C56</f>
        <v>44230</v>
      </c>
      <c r="D68" s="218">
        <f t="shared" si="21"/>
        <v>44251</v>
      </c>
      <c r="E68" s="199" t="s">
        <v>82</v>
      </c>
      <c r="F68" s="124">
        <v>9</v>
      </c>
      <c r="G68" s="200">
        <v>38</v>
      </c>
      <c r="H68" s="201">
        <f t="shared" si="5"/>
        <v>7.0559102035395256</v>
      </c>
      <c r="I68" s="201">
        <f t="shared" si="20"/>
        <v>5.1121348776600728</v>
      </c>
      <c r="J68" s="202">
        <f t="shared" si="2"/>
        <v>194.26112535108277</v>
      </c>
      <c r="K68" s="203">
        <f t="shared" si="11"/>
        <v>268.12458773450197</v>
      </c>
      <c r="L68" s="204">
        <f t="shared" si="19"/>
        <v>-73.863462383419204</v>
      </c>
      <c r="M68" s="205">
        <f t="shared" si="7"/>
        <v>-2.3570826745872768</v>
      </c>
      <c r="N68" s="206">
        <f t="shared" si="8"/>
        <v>-76.220545058006479</v>
      </c>
      <c r="O68" s="205">
        <v>0</v>
      </c>
      <c r="P68" s="205">
        <v>0</v>
      </c>
      <c r="Q68" s="205">
        <v>0</v>
      </c>
      <c r="R68" s="206">
        <f t="shared" si="9"/>
        <v>-76.220545058006479</v>
      </c>
    </row>
    <row r="69" spans="1:18" x14ac:dyDescent="0.2">
      <c r="A69" s="162">
        <v>2</v>
      </c>
      <c r="B69" s="197">
        <f t="shared" si="4"/>
        <v>44228</v>
      </c>
      <c r="C69" s="221">
        <f t="shared" si="21"/>
        <v>44258</v>
      </c>
      <c r="D69" s="221">
        <f t="shared" si="21"/>
        <v>44279</v>
      </c>
      <c r="E69" s="207" t="s">
        <v>82</v>
      </c>
      <c r="F69" s="162">
        <v>9</v>
      </c>
      <c r="G69" s="200">
        <v>60</v>
      </c>
      <c r="H69" s="201">
        <f t="shared" si="5"/>
        <v>7.0559102035395256</v>
      </c>
      <c r="I69" s="201">
        <f t="shared" si="20"/>
        <v>5.1121348776600728</v>
      </c>
      <c r="J69" s="202">
        <f t="shared" si="2"/>
        <v>306.72809265960439</v>
      </c>
      <c r="K69" s="203">
        <f t="shared" si="11"/>
        <v>423.35461221237153</v>
      </c>
      <c r="L69" s="204">
        <f t="shared" si="19"/>
        <v>-116.62651955276715</v>
      </c>
      <c r="M69" s="205">
        <f t="shared" si="7"/>
        <v>-3.721709486190437</v>
      </c>
      <c r="N69" s="206">
        <f t="shared" si="8"/>
        <v>-120.34822903895758</v>
      </c>
      <c r="O69" s="205">
        <v>0</v>
      </c>
      <c r="P69" s="205">
        <v>0</v>
      </c>
      <c r="Q69" s="205">
        <v>0</v>
      </c>
      <c r="R69" s="206">
        <f t="shared" si="9"/>
        <v>-120.34822903895758</v>
      </c>
    </row>
    <row r="70" spans="1:18" x14ac:dyDescent="0.2">
      <c r="A70" s="162">
        <v>3</v>
      </c>
      <c r="B70" s="197">
        <f t="shared" si="4"/>
        <v>44256</v>
      </c>
      <c r="C70" s="221">
        <f t="shared" si="21"/>
        <v>44291</v>
      </c>
      <c r="D70" s="221">
        <f t="shared" si="21"/>
        <v>44312</v>
      </c>
      <c r="E70" s="207" t="s">
        <v>82</v>
      </c>
      <c r="F70" s="162">
        <v>9</v>
      </c>
      <c r="G70" s="200">
        <v>31</v>
      </c>
      <c r="H70" s="201">
        <f t="shared" si="5"/>
        <v>7.0559102035395256</v>
      </c>
      <c r="I70" s="201">
        <f t="shared" si="20"/>
        <v>5.1121348776600728</v>
      </c>
      <c r="J70" s="202">
        <f t="shared" si="2"/>
        <v>158.47618120746225</v>
      </c>
      <c r="K70" s="203">
        <f t="shared" si="11"/>
        <v>218.73321630972529</v>
      </c>
      <c r="L70" s="204">
        <f>+J70-K70</f>
        <v>-60.257035102263046</v>
      </c>
      <c r="M70" s="205">
        <f t="shared" si="7"/>
        <v>-1.9228832345317257</v>
      </c>
      <c r="N70" s="206">
        <f t="shared" si="8"/>
        <v>-62.179918336794771</v>
      </c>
      <c r="O70" s="205">
        <v>0</v>
      </c>
      <c r="P70" s="205">
        <v>0</v>
      </c>
      <c r="Q70" s="205">
        <v>0</v>
      </c>
      <c r="R70" s="206">
        <f t="shared" si="9"/>
        <v>-62.179918336794771</v>
      </c>
    </row>
    <row r="71" spans="1:18" x14ac:dyDescent="0.2">
      <c r="A71" s="124">
        <v>4</v>
      </c>
      <c r="B71" s="197">
        <f t="shared" si="4"/>
        <v>44287</v>
      </c>
      <c r="C71" s="221">
        <f t="shared" si="21"/>
        <v>44321</v>
      </c>
      <c r="D71" s="221">
        <f t="shared" si="21"/>
        <v>44340</v>
      </c>
      <c r="E71" s="207" t="s">
        <v>82</v>
      </c>
      <c r="F71" s="162">
        <v>9</v>
      </c>
      <c r="G71" s="200">
        <v>20</v>
      </c>
      <c r="H71" s="201">
        <f t="shared" si="5"/>
        <v>7.0559102035395256</v>
      </c>
      <c r="I71" s="201">
        <f t="shared" si="20"/>
        <v>5.1121348776600728</v>
      </c>
      <c r="J71" s="202">
        <f t="shared" si="2"/>
        <v>102.24269755320145</v>
      </c>
      <c r="K71" s="203">
        <f t="shared" si="11"/>
        <v>141.11820407079051</v>
      </c>
      <c r="L71" s="204">
        <f t="shared" ref="L71:L79" si="22">+J71-K71</f>
        <v>-38.875506517589059</v>
      </c>
      <c r="M71" s="205">
        <f t="shared" si="7"/>
        <v>-1.2405698287301457</v>
      </c>
      <c r="N71" s="206">
        <f t="shared" si="8"/>
        <v>-40.116076346319204</v>
      </c>
      <c r="O71" s="205">
        <v>0</v>
      </c>
      <c r="P71" s="205">
        <v>0</v>
      </c>
      <c r="Q71" s="205">
        <v>0</v>
      </c>
      <c r="R71" s="206">
        <f t="shared" si="9"/>
        <v>-40.116076346319204</v>
      </c>
    </row>
    <row r="72" spans="1:18" x14ac:dyDescent="0.2">
      <c r="A72" s="162">
        <v>5</v>
      </c>
      <c r="B72" s="197">
        <f t="shared" si="4"/>
        <v>44317</v>
      </c>
      <c r="C72" s="221">
        <f t="shared" si="21"/>
        <v>44350</v>
      </c>
      <c r="D72" s="221">
        <f t="shared" si="21"/>
        <v>44371</v>
      </c>
      <c r="E72" s="207" t="s">
        <v>82</v>
      </c>
      <c r="F72" s="162">
        <v>9</v>
      </c>
      <c r="G72" s="200">
        <v>28</v>
      </c>
      <c r="H72" s="201">
        <f t="shared" si="5"/>
        <v>7.0559102035395256</v>
      </c>
      <c r="I72" s="201">
        <f t="shared" si="20"/>
        <v>5.1121348776600728</v>
      </c>
      <c r="J72" s="202">
        <f t="shared" si="2"/>
        <v>143.13977657448203</v>
      </c>
      <c r="K72" s="203">
        <f t="shared" si="11"/>
        <v>197.56548569910672</v>
      </c>
      <c r="L72" s="204">
        <f t="shared" si="22"/>
        <v>-54.425709124624689</v>
      </c>
      <c r="M72" s="205">
        <f t="shared" si="7"/>
        <v>-1.736797760222204</v>
      </c>
      <c r="N72" s="206">
        <f t="shared" si="8"/>
        <v>-56.162506884846891</v>
      </c>
      <c r="O72" s="205">
        <v>0</v>
      </c>
      <c r="P72" s="205">
        <v>0</v>
      </c>
      <c r="Q72" s="205">
        <v>0</v>
      </c>
      <c r="R72" s="206">
        <f t="shared" si="9"/>
        <v>-56.162506884846891</v>
      </c>
    </row>
    <row r="73" spans="1:18" x14ac:dyDescent="0.2">
      <c r="A73" s="162">
        <v>6</v>
      </c>
      <c r="B73" s="197">
        <f t="shared" si="4"/>
        <v>44348</v>
      </c>
      <c r="C73" s="221">
        <f t="shared" si="21"/>
        <v>44383</v>
      </c>
      <c r="D73" s="221">
        <f t="shared" si="21"/>
        <v>44401</v>
      </c>
      <c r="E73" s="207" t="s">
        <v>82</v>
      </c>
      <c r="F73" s="162">
        <v>9</v>
      </c>
      <c r="G73" s="200">
        <v>45</v>
      </c>
      <c r="H73" s="201">
        <f t="shared" si="5"/>
        <v>7.0559102035395256</v>
      </c>
      <c r="I73" s="201">
        <f t="shared" si="20"/>
        <v>5.1121348776600728</v>
      </c>
      <c r="J73" s="202">
        <f t="shared" si="2"/>
        <v>230.04606949470329</v>
      </c>
      <c r="K73" s="203">
        <f t="shared" si="11"/>
        <v>317.51595915927862</v>
      </c>
      <c r="L73" s="208">
        <f t="shared" si="22"/>
        <v>-87.469889664575334</v>
      </c>
      <c r="M73" s="205">
        <f t="shared" si="7"/>
        <v>-2.7912821146428279</v>
      </c>
      <c r="N73" s="206">
        <f t="shared" si="8"/>
        <v>-90.261171779218159</v>
      </c>
      <c r="O73" s="205">
        <v>0</v>
      </c>
      <c r="P73" s="205">
        <v>0</v>
      </c>
      <c r="Q73" s="205">
        <v>0</v>
      </c>
      <c r="R73" s="206">
        <f t="shared" si="9"/>
        <v>-90.261171779218159</v>
      </c>
    </row>
    <row r="74" spans="1:18" x14ac:dyDescent="0.2">
      <c r="A74" s="124">
        <v>7</v>
      </c>
      <c r="B74" s="197">
        <f t="shared" si="4"/>
        <v>44378</v>
      </c>
      <c r="C74" s="221">
        <f t="shared" si="21"/>
        <v>44412</v>
      </c>
      <c r="D74" s="221">
        <f t="shared" si="21"/>
        <v>44432</v>
      </c>
      <c r="E74" s="207" t="s">
        <v>82</v>
      </c>
      <c r="F74" s="162">
        <v>9</v>
      </c>
      <c r="G74" s="200">
        <v>53</v>
      </c>
      <c r="H74" s="201">
        <f t="shared" si="5"/>
        <v>7.0559102035395256</v>
      </c>
      <c r="I74" s="201">
        <f t="shared" si="20"/>
        <v>5.1121348776600728</v>
      </c>
      <c r="J74" s="202">
        <f t="shared" si="2"/>
        <v>270.94314851598386</v>
      </c>
      <c r="K74" s="209">
        <f t="shared" si="11"/>
        <v>373.96324078759483</v>
      </c>
      <c r="L74" s="208">
        <f t="shared" si="22"/>
        <v>-103.02009227161096</v>
      </c>
      <c r="M74" s="205">
        <f t="shared" si="7"/>
        <v>-3.2875100461348863</v>
      </c>
      <c r="N74" s="206">
        <f t="shared" si="8"/>
        <v>-106.30760231774585</v>
      </c>
      <c r="O74" s="205">
        <v>0</v>
      </c>
      <c r="P74" s="205">
        <v>0</v>
      </c>
      <c r="Q74" s="205">
        <v>0</v>
      </c>
      <c r="R74" s="206">
        <f t="shared" si="9"/>
        <v>-106.30760231774585</v>
      </c>
    </row>
    <row r="75" spans="1:18" x14ac:dyDescent="0.2">
      <c r="A75" s="162">
        <v>8</v>
      </c>
      <c r="B75" s="197">
        <f t="shared" si="4"/>
        <v>44409</v>
      </c>
      <c r="C75" s="221">
        <f t="shared" si="21"/>
        <v>44442</v>
      </c>
      <c r="D75" s="221">
        <f t="shared" si="21"/>
        <v>44463</v>
      </c>
      <c r="E75" s="207" t="s">
        <v>82</v>
      </c>
      <c r="F75" s="162">
        <v>9</v>
      </c>
      <c r="G75" s="200">
        <v>50</v>
      </c>
      <c r="H75" s="201">
        <f t="shared" si="5"/>
        <v>7.0559102035395256</v>
      </c>
      <c r="I75" s="201">
        <f t="shared" si="20"/>
        <v>5.1121348776600728</v>
      </c>
      <c r="J75" s="202">
        <f t="shared" si="2"/>
        <v>255.60674388300365</v>
      </c>
      <c r="K75" s="209">
        <f t="shared" si="11"/>
        <v>352.79551017697628</v>
      </c>
      <c r="L75" s="208">
        <f t="shared" si="22"/>
        <v>-97.188766293972634</v>
      </c>
      <c r="M75" s="205">
        <f t="shared" si="7"/>
        <v>-3.1014245718253646</v>
      </c>
      <c r="N75" s="206">
        <f t="shared" si="8"/>
        <v>-100.290190865798</v>
      </c>
      <c r="O75" s="205">
        <v>0</v>
      </c>
      <c r="P75" s="205">
        <v>0</v>
      </c>
      <c r="Q75" s="205">
        <v>0</v>
      </c>
      <c r="R75" s="206">
        <f t="shared" si="9"/>
        <v>-100.290190865798</v>
      </c>
    </row>
    <row r="76" spans="1:18" x14ac:dyDescent="0.2">
      <c r="A76" s="162">
        <v>9</v>
      </c>
      <c r="B76" s="197">
        <f t="shared" si="4"/>
        <v>44440</v>
      </c>
      <c r="C76" s="221">
        <f t="shared" si="21"/>
        <v>44474</v>
      </c>
      <c r="D76" s="221">
        <f t="shared" si="21"/>
        <v>44494</v>
      </c>
      <c r="E76" s="207" t="s">
        <v>82</v>
      </c>
      <c r="F76" s="162">
        <v>9</v>
      </c>
      <c r="G76" s="200">
        <v>49</v>
      </c>
      <c r="H76" s="201">
        <f t="shared" si="5"/>
        <v>7.0559102035395256</v>
      </c>
      <c r="I76" s="201">
        <f t="shared" si="20"/>
        <v>5.1121348776600728</v>
      </c>
      <c r="J76" s="202">
        <f t="shared" si="2"/>
        <v>250.49460900534356</v>
      </c>
      <c r="K76" s="209">
        <f t="shared" si="11"/>
        <v>345.73959997343673</v>
      </c>
      <c r="L76" s="208">
        <f t="shared" si="22"/>
        <v>-95.244990968093163</v>
      </c>
      <c r="M76" s="205">
        <f t="shared" si="7"/>
        <v>-3.0393960803888573</v>
      </c>
      <c r="N76" s="206">
        <f t="shared" si="8"/>
        <v>-98.284387048482017</v>
      </c>
      <c r="O76" s="205">
        <v>0</v>
      </c>
      <c r="P76" s="205">
        <v>0</v>
      </c>
      <c r="Q76" s="205">
        <v>0</v>
      </c>
      <c r="R76" s="206">
        <f t="shared" si="9"/>
        <v>-98.284387048482017</v>
      </c>
    </row>
    <row r="77" spans="1:18" x14ac:dyDescent="0.2">
      <c r="A77" s="124">
        <v>10</v>
      </c>
      <c r="B77" s="197">
        <f t="shared" si="4"/>
        <v>44470</v>
      </c>
      <c r="C77" s="221">
        <f t="shared" si="21"/>
        <v>44503</v>
      </c>
      <c r="D77" s="221">
        <f t="shared" si="21"/>
        <v>44524</v>
      </c>
      <c r="E77" s="207" t="s">
        <v>82</v>
      </c>
      <c r="F77" s="162">
        <v>9</v>
      </c>
      <c r="G77" s="200">
        <v>38</v>
      </c>
      <c r="H77" s="201">
        <f t="shared" si="5"/>
        <v>7.0559102035395256</v>
      </c>
      <c r="I77" s="201">
        <f t="shared" si="20"/>
        <v>5.1121348776600728</v>
      </c>
      <c r="J77" s="202">
        <f t="shared" si="2"/>
        <v>194.26112535108277</v>
      </c>
      <c r="K77" s="209">
        <f t="shared" si="11"/>
        <v>268.12458773450197</v>
      </c>
      <c r="L77" s="208">
        <f t="shared" si="22"/>
        <v>-73.863462383419204</v>
      </c>
      <c r="M77" s="205">
        <f t="shared" si="7"/>
        <v>-2.3570826745872768</v>
      </c>
      <c r="N77" s="206">
        <f t="shared" si="8"/>
        <v>-76.220545058006479</v>
      </c>
      <c r="O77" s="205">
        <v>0</v>
      </c>
      <c r="P77" s="205">
        <v>0</v>
      </c>
      <c r="Q77" s="205">
        <v>0</v>
      </c>
      <c r="R77" s="206">
        <f t="shared" si="9"/>
        <v>-76.220545058006479</v>
      </c>
    </row>
    <row r="78" spans="1:18" x14ac:dyDescent="0.2">
      <c r="A78" s="162">
        <v>11</v>
      </c>
      <c r="B78" s="197">
        <f t="shared" si="4"/>
        <v>44501</v>
      </c>
      <c r="C78" s="221">
        <f t="shared" si="21"/>
        <v>44533</v>
      </c>
      <c r="D78" s="221">
        <f t="shared" si="21"/>
        <v>44557</v>
      </c>
      <c r="E78" s="207" t="s">
        <v>82</v>
      </c>
      <c r="F78" s="162">
        <v>9</v>
      </c>
      <c r="G78" s="200">
        <v>32</v>
      </c>
      <c r="H78" s="201">
        <f t="shared" si="5"/>
        <v>7.0559102035395256</v>
      </c>
      <c r="I78" s="201">
        <f t="shared" si="20"/>
        <v>5.1121348776600728</v>
      </c>
      <c r="J78" s="202">
        <f t="shared" si="2"/>
        <v>163.58831608512233</v>
      </c>
      <c r="K78" s="209">
        <f>+$G78*H78</f>
        <v>225.78912651326482</v>
      </c>
      <c r="L78" s="208">
        <f t="shared" si="22"/>
        <v>-62.200810428142489</v>
      </c>
      <c r="M78" s="205">
        <f t="shared" si="7"/>
        <v>-1.984911725968233</v>
      </c>
      <c r="N78" s="206">
        <f t="shared" si="8"/>
        <v>-64.185722154110721</v>
      </c>
      <c r="O78" s="205">
        <v>0</v>
      </c>
      <c r="P78" s="205">
        <v>0</v>
      </c>
      <c r="Q78" s="205">
        <v>0</v>
      </c>
      <c r="R78" s="206">
        <f t="shared" si="9"/>
        <v>-64.185722154110721</v>
      </c>
    </row>
    <row r="79" spans="1:18" s="225" customFormat="1" x14ac:dyDescent="0.2">
      <c r="A79" s="162">
        <v>12</v>
      </c>
      <c r="B79" s="223">
        <f t="shared" si="4"/>
        <v>44531</v>
      </c>
      <c r="C79" s="226">
        <f t="shared" si="21"/>
        <v>44566</v>
      </c>
      <c r="D79" s="226">
        <f t="shared" si="21"/>
        <v>44585</v>
      </c>
      <c r="E79" s="227" t="s">
        <v>82</v>
      </c>
      <c r="F79" s="173">
        <v>9</v>
      </c>
      <c r="G79" s="212">
        <v>31</v>
      </c>
      <c r="H79" s="213">
        <f t="shared" si="5"/>
        <v>7.0559102035395256</v>
      </c>
      <c r="I79" s="213">
        <f t="shared" si="20"/>
        <v>5.1121348776600728</v>
      </c>
      <c r="J79" s="214">
        <f t="shared" si="2"/>
        <v>158.47618120746225</v>
      </c>
      <c r="K79" s="215">
        <f>+$G79*H79</f>
        <v>218.73321630972529</v>
      </c>
      <c r="L79" s="216">
        <f t="shared" si="22"/>
        <v>-60.257035102263046</v>
      </c>
      <c r="M79" s="205">
        <f t="shared" si="7"/>
        <v>-1.9228832345317257</v>
      </c>
      <c r="N79" s="206">
        <f t="shared" si="8"/>
        <v>-62.179918336794771</v>
      </c>
      <c r="O79" s="205">
        <v>0</v>
      </c>
      <c r="P79" s="205">
        <v>0</v>
      </c>
      <c r="Q79" s="205">
        <v>0</v>
      </c>
      <c r="R79" s="206">
        <f t="shared" si="9"/>
        <v>-62.179918336794771</v>
      </c>
    </row>
    <row r="80" spans="1:18" s="52" customFormat="1" ht="12.75" customHeight="1" x14ac:dyDescent="0.2">
      <c r="A80" s="124">
        <v>1</v>
      </c>
      <c r="B80" s="197">
        <f t="shared" si="4"/>
        <v>44197</v>
      </c>
      <c r="C80" s="218">
        <f t="shared" ref="C80:D91" si="23">+C56</f>
        <v>44230</v>
      </c>
      <c r="D80" s="218">
        <f t="shared" si="23"/>
        <v>44251</v>
      </c>
      <c r="E80" s="199" t="s">
        <v>9</v>
      </c>
      <c r="F80" s="124">
        <v>9</v>
      </c>
      <c r="G80" s="200">
        <v>43</v>
      </c>
      <c r="H80" s="201">
        <f t="shared" si="5"/>
        <v>7.0559102035395256</v>
      </c>
      <c r="I80" s="201">
        <f t="shared" si="20"/>
        <v>5.1121348776600728</v>
      </c>
      <c r="J80" s="202">
        <f t="shared" si="2"/>
        <v>219.82179973938312</v>
      </c>
      <c r="K80" s="203">
        <f t="shared" si="11"/>
        <v>303.40413875219963</v>
      </c>
      <c r="L80" s="204">
        <f t="shared" si="19"/>
        <v>-83.582339012816504</v>
      </c>
      <c r="M80" s="205">
        <f t="shared" si="7"/>
        <v>-2.667225131769813</v>
      </c>
      <c r="N80" s="206">
        <f t="shared" si="8"/>
        <v>-86.249564144586316</v>
      </c>
      <c r="O80" s="205">
        <v>0</v>
      </c>
      <c r="P80" s="205">
        <v>0</v>
      </c>
      <c r="Q80" s="205">
        <v>0</v>
      </c>
      <c r="R80" s="206">
        <f t="shared" si="9"/>
        <v>-86.249564144586316</v>
      </c>
    </row>
    <row r="81" spans="1:18" x14ac:dyDescent="0.2">
      <c r="A81" s="162">
        <v>2</v>
      </c>
      <c r="B81" s="197">
        <f t="shared" si="4"/>
        <v>44228</v>
      </c>
      <c r="C81" s="221">
        <f t="shared" si="23"/>
        <v>44258</v>
      </c>
      <c r="D81" s="221">
        <f t="shared" si="23"/>
        <v>44279</v>
      </c>
      <c r="E81" s="207" t="s">
        <v>9</v>
      </c>
      <c r="F81" s="162">
        <v>9</v>
      </c>
      <c r="G81" s="200">
        <v>48</v>
      </c>
      <c r="H81" s="201">
        <f t="shared" si="5"/>
        <v>7.0559102035395256</v>
      </c>
      <c r="I81" s="201">
        <f t="shared" si="20"/>
        <v>5.1121348776600728</v>
      </c>
      <c r="J81" s="202">
        <f t="shared" si="2"/>
        <v>245.38247412768351</v>
      </c>
      <c r="K81" s="203">
        <f t="shared" si="11"/>
        <v>338.68368976989723</v>
      </c>
      <c r="L81" s="204">
        <f t="shared" si="19"/>
        <v>-93.30121564221372</v>
      </c>
      <c r="M81" s="205">
        <f t="shared" si="7"/>
        <v>-2.9773675889523497</v>
      </c>
      <c r="N81" s="206">
        <f t="shared" si="8"/>
        <v>-96.278583231166067</v>
      </c>
      <c r="O81" s="205">
        <v>0</v>
      </c>
      <c r="P81" s="205">
        <v>0</v>
      </c>
      <c r="Q81" s="205">
        <v>0</v>
      </c>
      <c r="R81" s="206">
        <f t="shared" si="9"/>
        <v>-96.278583231166067</v>
      </c>
    </row>
    <row r="82" spans="1:18" x14ac:dyDescent="0.2">
      <c r="A82" s="162">
        <v>3</v>
      </c>
      <c r="B82" s="197">
        <f t="shared" si="4"/>
        <v>44256</v>
      </c>
      <c r="C82" s="221">
        <f t="shared" si="23"/>
        <v>44291</v>
      </c>
      <c r="D82" s="221">
        <f t="shared" si="23"/>
        <v>44312</v>
      </c>
      <c r="E82" s="207" t="s">
        <v>9</v>
      </c>
      <c r="F82" s="162">
        <v>9</v>
      </c>
      <c r="G82" s="200">
        <v>35</v>
      </c>
      <c r="H82" s="201">
        <f t="shared" si="5"/>
        <v>7.0559102035395256</v>
      </c>
      <c r="I82" s="201">
        <f t="shared" si="20"/>
        <v>5.1121348776600728</v>
      </c>
      <c r="J82" s="202">
        <f t="shared" si="2"/>
        <v>178.92472071810255</v>
      </c>
      <c r="K82" s="203">
        <f t="shared" si="11"/>
        <v>246.9568571238834</v>
      </c>
      <c r="L82" s="204">
        <f>+J82-K82</f>
        <v>-68.032136405780847</v>
      </c>
      <c r="M82" s="205">
        <f t="shared" si="7"/>
        <v>-2.1709972002777551</v>
      </c>
      <c r="N82" s="206">
        <f t="shared" si="8"/>
        <v>-70.2031336060586</v>
      </c>
      <c r="O82" s="205">
        <v>0</v>
      </c>
      <c r="P82" s="205">
        <v>0</v>
      </c>
      <c r="Q82" s="205">
        <v>0</v>
      </c>
      <c r="R82" s="206">
        <f t="shared" si="9"/>
        <v>-70.2031336060586</v>
      </c>
    </row>
    <row r="83" spans="1:18" ht="12" customHeight="1" x14ac:dyDescent="0.2">
      <c r="A83" s="124">
        <v>4</v>
      </c>
      <c r="B83" s="197">
        <f t="shared" si="4"/>
        <v>44287</v>
      </c>
      <c r="C83" s="221">
        <f t="shared" si="23"/>
        <v>44321</v>
      </c>
      <c r="D83" s="221">
        <f t="shared" si="23"/>
        <v>44340</v>
      </c>
      <c r="E83" s="54" t="s">
        <v>9</v>
      </c>
      <c r="F83" s="162">
        <v>9</v>
      </c>
      <c r="G83" s="200">
        <v>29</v>
      </c>
      <c r="H83" s="201">
        <f t="shared" si="5"/>
        <v>7.0559102035395256</v>
      </c>
      <c r="I83" s="201">
        <f t="shared" si="20"/>
        <v>5.1121348776600728</v>
      </c>
      <c r="J83" s="202">
        <f t="shared" si="2"/>
        <v>148.25191145214211</v>
      </c>
      <c r="K83" s="203">
        <f t="shared" si="11"/>
        <v>204.62139590264624</v>
      </c>
      <c r="L83" s="204">
        <f t="shared" ref="L83:L93" si="24">+J83-K83</f>
        <v>-56.369484450504132</v>
      </c>
      <c r="M83" s="205">
        <f t="shared" si="7"/>
        <v>-1.7988262516587112</v>
      </c>
      <c r="N83" s="206">
        <f t="shared" si="8"/>
        <v>-58.168310702162842</v>
      </c>
      <c r="O83" s="205">
        <v>0</v>
      </c>
      <c r="P83" s="205">
        <v>0</v>
      </c>
      <c r="Q83" s="205">
        <v>0</v>
      </c>
      <c r="R83" s="206">
        <f t="shared" si="9"/>
        <v>-58.168310702162842</v>
      </c>
    </row>
    <row r="84" spans="1:18" ht="12" customHeight="1" x14ac:dyDescent="0.2">
      <c r="A84" s="162">
        <v>5</v>
      </c>
      <c r="B84" s="197">
        <f t="shared" si="4"/>
        <v>44317</v>
      </c>
      <c r="C84" s="221">
        <f t="shared" si="23"/>
        <v>44350</v>
      </c>
      <c r="D84" s="221">
        <f t="shared" si="23"/>
        <v>44371</v>
      </c>
      <c r="E84" s="54" t="s">
        <v>9</v>
      </c>
      <c r="F84" s="162">
        <v>9</v>
      </c>
      <c r="G84" s="200">
        <v>34</v>
      </c>
      <c r="H84" s="201">
        <f t="shared" si="5"/>
        <v>7.0559102035395256</v>
      </c>
      <c r="I84" s="201">
        <f t="shared" si="20"/>
        <v>5.1121348776600728</v>
      </c>
      <c r="J84" s="202">
        <f t="shared" si="2"/>
        <v>173.81258584044247</v>
      </c>
      <c r="K84" s="203">
        <f t="shared" si="11"/>
        <v>239.90094692034387</v>
      </c>
      <c r="L84" s="204">
        <f t="shared" si="24"/>
        <v>-66.088361079901404</v>
      </c>
      <c r="M84" s="205">
        <f t="shared" si="7"/>
        <v>-2.1089687088412479</v>
      </c>
      <c r="N84" s="206">
        <f t="shared" si="8"/>
        <v>-68.19732978874265</v>
      </c>
      <c r="O84" s="205">
        <v>0</v>
      </c>
      <c r="P84" s="205">
        <v>0</v>
      </c>
      <c r="Q84" s="205">
        <v>0</v>
      </c>
      <c r="R84" s="206">
        <f t="shared" si="9"/>
        <v>-68.19732978874265</v>
      </c>
    </row>
    <row r="85" spans="1:18" x14ac:dyDescent="0.2">
      <c r="A85" s="162">
        <v>6</v>
      </c>
      <c r="B85" s="197">
        <f t="shared" si="4"/>
        <v>44348</v>
      </c>
      <c r="C85" s="221">
        <f t="shared" si="23"/>
        <v>44383</v>
      </c>
      <c r="D85" s="221">
        <f t="shared" si="23"/>
        <v>44401</v>
      </c>
      <c r="E85" s="54" t="s">
        <v>9</v>
      </c>
      <c r="F85" s="162">
        <v>9</v>
      </c>
      <c r="G85" s="200">
        <v>45</v>
      </c>
      <c r="H85" s="201">
        <f t="shared" ref="H85:H148" si="25">+$K$3</f>
        <v>7.0559102035395256</v>
      </c>
      <c r="I85" s="201">
        <f t="shared" si="20"/>
        <v>5.1121348776600728</v>
      </c>
      <c r="J85" s="202">
        <f t="shared" si="2"/>
        <v>230.04606949470329</v>
      </c>
      <c r="K85" s="203">
        <f t="shared" si="11"/>
        <v>317.51595915927862</v>
      </c>
      <c r="L85" s="208">
        <f t="shared" si="24"/>
        <v>-87.469889664575334</v>
      </c>
      <c r="M85" s="205">
        <f t="shared" ref="M85:M148" si="26">G85/$G$212*$M$14</f>
        <v>-2.7912821146428279</v>
      </c>
      <c r="N85" s="206">
        <f t="shared" ref="N85:N148" si="27">SUM(L85:M85)</f>
        <v>-90.261171779218159</v>
      </c>
      <c r="O85" s="205">
        <v>0</v>
      </c>
      <c r="P85" s="205">
        <v>0</v>
      </c>
      <c r="Q85" s="205">
        <v>0</v>
      </c>
      <c r="R85" s="206">
        <f t="shared" ref="R85:R148" si="28">+N85-Q85</f>
        <v>-90.261171779218159</v>
      </c>
    </row>
    <row r="86" spans="1:18" x14ac:dyDescent="0.2">
      <c r="A86" s="124">
        <v>7</v>
      </c>
      <c r="B86" s="197">
        <f t="shared" si="4"/>
        <v>44378</v>
      </c>
      <c r="C86" s="221">
        <f t="shared" si="23"/>
        <v>44412</v>
      </c>
      <c r="D86" s="221">
        <f t="shared" si="23"/>
        <v>44432</v>
      </c>
      <c r="E86" s="54" t="s">
        <v>9</v>
      </c>
      <c r="F86" s="162">
        <v>9</v>
      </c>
      <c r="G86" s="200">
        <v>48</v>
      </c>
      <c r="H86" s="201">
        <f t="shared" si="25"/>
        <v>7.0559102035395256</v>
      </c>
      <c r="I86" s="201">
        <f t="shared" si="20"/>
        <v>5.1121348776600728</v>
      </c>
      <c r="J86" s="202">
        <f t="shared" si="2"/>
        <v>245.38247412768351</v>
      </c>
      <c r="K86" s="209">
        <f t="shared" si="11"/>
        <v>338.68368976989723</v>
      </c>
      <c r="L86" s="208">
        <f t="shared" si="24"/>
        <v>-93.30121564221372</v>
      </c>
      <c r="M86" s="205">
        <f t="shared" si="26"/>
        <v>-2.9773675889523497</v>
      </c>
      <c r="N86" s="206">
        <f t="shared" si="27"/>
        <v>-96.278583231166067</v>
      </c>
      <c r="O86" s="205">
        <v>0</v>
      </c>
      <c r="P86" s="205">
        <v>0</v>
      </c>
      <c r="Q86" s="205">
        <v>0</v>
      </c>
      <c r="R86" s="206">
        <f t="shared" si="28"/>
        <v>-96.278583231166067</v>
      </c>
    </row>
    <row r="87" spans="1:18" x14ac:dyDescent="0.2">
      <c r="A87" s="162">
        <v>8</v>
      </c>
      <c r="B87" s="197">
        <f t="shared" si="4"/>
        <v>44409</v>
      </c>
      <c r="C87" s="221">
        <f t="shared" si="23"/>
        <v>44442</v>
      </c>
      <c r="D87" s="221">
        <f t="shared" si="23"/>
        <v>44463</v>
      </c>
      <c r="E87" s="54" t="s">
        <v>9</v>
      </c>
      <c r="F87" s="162">
        <v>9</v>
      </c>
      <c r="G87" s="200">
        <v>46</v>
      </c>
      <c r="H87" s="201">
        <f t="shared" si="25"/>
        <v>7.0559102035395256</v>
      </c>
      <c r="I87" s="201">
        <f t="shared" si="20"/>
        <v>5.1121348776600728</v>
      </c>
      <c r="J87" s="202">
        <f t="shared" si="2"/>
        <v>235.15820437236334</v>
      </c>
      <c r="K87" s="209">
        <f t="shared" si="11"/>
        <v>324.57186936281818</v>
      </c>
      <c r="L87" s="208">
        <f t="shared" si="24"/>
        <v>-89.413664990454834</v>
      </c>
      <c r="M87" s="205">
        <f t="shared" si="26"/>
        <v>-2.8533106060793352</v>
      </c>
      <c r="N87" s="206">
        <f t="shared" si="27"/>
        <v>-92.266975596534166</v>
      </c>
      <c r="O87" s="205">
        <v>0</v>
      </c>
      <c r="P87" s="205">
        <v>0</v>
      </c>
      <c r="Q87" s="205">
        <v>0</v>
      </c>
      <c r="R87" s="206">
        <f t="shared" si="28"/>
        <v>-92.266975596534166</v>
      </c>
    </row>
    <row r="88" spans="1:18" x14ac:dyDescent="0.2">
      <c r="A88" s="162">
        <v>9</v>
      </c>
      <c r="B88" s="197">
        <f t="shared" si="4"/>
        <v>44440</v>
      </c>
      <c r="C88" s="221">
        <f t="shared" si="23"/>
        <v>44474</v>
      </c>
      <c r="D88" s="221">
        <f t="shared" si="23"/>
        <v>44494</v>
      </c>
      <c r="E88" s="54" t="s">
        <v>9</v>
      </c>
      <c r="F88" s="162">
        <v>9</v>
      </c>
      <c r="G88" s="200">
        <v>46</v>
      </c>
      <c r="H88" s="201">
        <f t="shared" si="25"/>
        <v>7.0559102035395256</v>
      </c>
      <c r="I88" s="201">
        <f t="shared" si="20"/>
        <v>5.1121348776600728</v>
      </c>
      <c r="J88" s="202">
        <f t="shared" si="2"/>
        <v>235.15820437236334</v>
      </c>
      <c r="K88" s="209">
        <f t="shared" si="11"/>
        <v>324.57186936281818</v>
      </c>
      <c r="L88" s="208">
        <f t="shared" si="24"/>
        <v>-89.413664990454834</v>
      </c>
      <c r="M88" s="205">
        <f t="shared" si="26"/>
        <v>-2.8533106060793352</v>
      </c>
      <c r="N88" s="206">
        <f t="shared" si="27"/>
        <v>-92.266975596534166</v>
      </c>
      <c r="O88" s="205">
        <v>0</v>
      </c>
      <c r="P88" s="205">
        <v>0</v>
      </c>
      <c r="Q88" s="205">
        <v>0</v>
      </c>
      <c r="R88" s="206">
        <f t="shared" si="28"/>
        <v>-92.266975596534166</v>
      </c>
    </row>
    <row r="89" spans="1:18" x14ac:dyDescent="0.2">
      <c r="A89" s="124">
        <v>10</v>
      </c>
      <c r="B89" s="197">
        <f t="shared" si="4"/>
        <v>44470</v>
      </c>
      <c r="C89" s="221">
        <f t="shared" si="23"/>
        <v>44503</v>
      </c>
      <c r="D89" s="221">
        <f t="shared" si="23"/>
        <v>44524</v>
      </c>
      <c r="E89" s="54" t="s">
        <v>9</v>
      </c>
      <c r="F89" s="162">
        <v>9</v>
      </c>
      <c r="G89" s="200">
        <v>41</v>
      </c>
      <c r="H89" s="201">
        <f t="shared" si="25"/>
        <v>7.0559102035395256</v>
      </c>
      <c r="I89" s="201">
        <f t="shared" si="20"/>
        <v>5.1121348776600728</v>
      </c>
      <c r="J89" s="202">
        <f t="shared" si="2"/>
        <v>209.59752998406299</v>
      </c>
      <c r="K89" s="209">
        <f t="shared" si="11"/>
        <v>289.29231834512052</v>
      </c>
      <c r="L89" s="208">
        <f t="shared" si="24"/>
        <v>-79.694788361057533</v>
      </c>
      <c r="M89" s="205">
        <f t="shared" si="26"/>
        <v>-2.5431681488967985</v>
      </c>
      <c r="N89" s="206">
        <f t="shared" si="27"/>
        <v>-82.23795650995433</v>
      </c>
      <c r="O89" s="205">
        <v>0</v>
      </c>
      <c r="P89" s="205">
        <v>0</v>
      </c>
      <c r="Q89" s="205">
        <v>0</v>
      </c>
      <c r="R89" s="206">
        <f t="shared" si="28"/>
        <v>-82.23795650995433</v>
      </c>
    </row>
    <row r="90" spans="1:18" x14ac:dyDescent="0.2">
      <c r="A90" s="162">
        <v>11</v>
      </c>
      <c r="B90" s="197">
        <f t="shared" si="4"/>
        <v>44501</v>
      </c>
      <c r="C90" s="221">
        <f t="shared" si="23"/>
        <v>44533</v>
      </c>
      <c r="D90" s="221">
        <f t="shared" si="23"/>
        <v>44557</v>
      </c>
      <c r="E90" s="54" t="s">
        <v>9</v>
      </c>
      <c r="F90" s="162">
        <v>9</v>
      </c>
      <c r="G90" s="200">
        <v>40</v>
      </c>
      <c r="H90" s="201">
        <f t="shared" si="25"/>
        <v>7.0559102035395256</v>
      </c>
      <c r="I90" s="201">
        <f t="shared" si="20"/>
        <v>5.1121348776600728</v>
      </c>
      <c r="J90" s="202">
        <f t="shared" si="2"/>
        <v>204.4853951064029</v>
      </c>
      <c r="K90" s="209">
        <f t="shared" si="11"/>
        <v>282.23640814158102</v>
      </c>
      <c r="L90" s="208">
        <f t="shared" si="24"/>
        <v>-77.751013035178119</v>
      </c>
      <c r="M90" s="205">
        <f t="shared" si="26"/>
        <v>-2.4811396574602913</v>
      </c>
      <c r="N90" s="206">
        <f t="shared" si="27"/>
        <v>-80.232152692638408</v>
      </c>
      <c r="O90" s="205">
        <v>0</v>
      </c>
      <c r="P90" s="205">
        <v>0</v>
      </c>
      <c r="Q90" s="205">
        <v>0</v>
      </c>
      <c r="R90" s="206">
        <f t="shared" si="28"/>
        <v>-80.232152692638408</v>
      </c>
    </row>
    <row r="91" spans="1:18" s="225" customFormat="1" x14ac:dyDescent="0.2">
      <c r="A91" s="162">
        <v>12</v>
      </c>
      <c r="B91" s="223">
        <f t="shared" si="4"/>
        <v>44531</v>
      </c>
      <c r="C91" s="221">
        <f t="shared" si="23"/>
        <v>44566</v>
      </c>
      <c r="D91" s="221">
        <f t="shared" si="23"/>
        <v>44585</v>
      </c>
      <c r="E91" s="224" t="s">
        <v>9</v>
      </c>
      <c r="F91" s="173">
        <v>9</v>
      </c>
      <c r="G91" s="212">
        <v>39</v>
      </c>
      <c r="H91" s="213">
        <f t="shared" si="25"/>
        <v>7.0559102035395256</v>
      </c>
      <c r="I91" s="213">
        <f t="shared" si="20"/>
        <v>5.1121348776600728</v>
      </c>
      <c r="J91" s="214">
        <f t="shared" si="2"/>
        <v>199.37326022874285</v>
      </c>
      <c r="K91" s="215">
        <f t="shared" si="11"/>
        <v>275.18049793804153</v>
      </c>
      <c r="L91" s="216">
        <f t="shared" si="24"/>
        <v>-75.807237709298676</v>
      </c>
      <c r="M91" s="205">
        <f t="shared" si="26"/>
        <v>-2.4191111660237841</v>
      </c>
      <c r="N91" s="206">
        <f t="shared" si="27"/>
        <v>-78.226348875322458</v>
      </c>
      <c r="O91" s="205">
        <v>0</v>
      </c>
      <c r="P91" s="205">
        <v>0</v>
      </c>
      <c r="Q91" s="205">
        <v>0</v>
      </c>
      <c r="R91" s="206">
        <f t="shared" si="28"/>
        <v>-78.226348875322458</v>
      </c>
    </row>
    <row r="92" spans="1:18" x14ac:dyDescent="0.2">
      <c r="A92" s="124">
        <v>1</v>
      </c>
      <c r="B92" s="197">
        <f t="shared" si="4"/>
        <v>44197</v>
      </c>
      <c r="C92" s="218">
        <f t="shared" ref="C92:D95" si="29">+C80</f>
        <v>44230</v>
      </c>
      <c r="D92" s="218">
        <f t="shared" si="29"/>
        <v>44251</v>
      </c>
      <c r="E92" s="199" t="s">
        <v>8</v>
      </c>
      <c r="F92" s="124">
        <v>9</v>
      </c>
      <c r="G92" s="200">
        <v>76</v>
      </c>
      <c r="H92" s="201">
        <f t="shared" si="25"/>
        <v>7.0559102035395256</v>
      </c>
      <c r="I92" s="201">
        <f t="shared" si="20"/>
        <v>5.1121348776600728</v>
      </c>
      <c r="J92" s="202">
        <f t="shared" si="2"/>
        <v>388.52225070216554</v>
      </c>
      <c r="K92" s="203">
        <f t="shared" si="11"/>
        <v>536.24917546900394</v>
      </c>
      <c r="L92" s="204">
        <f t="shared" si="24"/>
        <v>-147.72692476683841</v>
      </c>
      <c r="M92" s="205">
        <f t="shared" si="26"/>
        <v>-4.7141653491745537</v>
      </c>
      <c r="N92" s="206">
        <f t="shared" si="27"/>
        <v>-152.44109011601296</v>
      </c>
      <c r="O92" s="205">
        <v>0</v>
      </c>
      <c r="P92" s="205">
        <v>0</v>
      </c>
      <c r="Q92" s="205">
        <v>0</v>
      </c>
      <c r="R92" s="206">
        <f t="shared" si="28"/>
        <v>-152.44109011601296</v>
      </c>
    </row>
    <row r="93" spans="1:18" x14ac:dyDescent="0.2">
      <c r="A93" s="162">
        <v>2</v>
      </c>
      <c r="B93" s="197">
        <f t="shared" si="4"/>
        <v>44228</v>
      </c>
      <c r="C93" s="221">
        <f t="shared" si="29"/>
        <v>44258</v>
      </c>
      <c r="D93" s="221">
        <f t="shared" si="29"/>
        <v>44279</v>
      </c>
      <c r="E93" s="207" t="s">
        <v>8</v>
      </c>
      <c r="F93" s="162">
        <v>9</v>
      </c>
      <c r="G93" s="200">
        <v>99</v>
      </c>
      <c r="H93" s="201">
        <f t="shared" si="25"/>
        <v>7.0559102035395256</v>
      </c>
      <c r="I93" s="201">
        <f t="shared" si="20"/>
        <v>5.1121348776600728</v>
      </c>
      <c r="J93" s="202">
        <f t="shared" si="2"/>
        <v>506.10135288834721</v>
      </c>
      <c r="K93" s="203">
        <f t="shared" si="11"/>
        <v>698.53511015041306</v>
      </c>
      <c r="L93" s="204">
        <f t="shared" si="24"/>
        <v>-192.43375726206585</v>
      </c>
      <c r="M93" s="205">
        <f t="shared" si="26"/>
        <v>-6.1408206522142219</v>
      </c>
      <c r="N93" s="206">
        <f t="shared" si="27"/>
        <v>-198.57457791428007</v>
      </c>
      <c r="O93" s="205">
        <v>0</v>
      </c>
      <c r="P93" s="205">
        <v>0</v>
      </c>
      <c r="Q93" s="205">
        <v>0</v>
      </c>
      <c r="R93" s="206">
        <f t="shared" si="28"/>
        <v>-198.57457791428007</v>
      </c>
    </row>
    <row r="94" spans="1:18" x14ac:dyDescent="0.2">
      <c r="A94" s="162">
        <v>3</v>
      </c>
      <c r="B94" s="197">
        <f t="shared" si="4"/>
        <v>44256</v>
      </c>
      <c r="C94" s="221">
        <f t="shared" si="29"/>
        <v>44291</v>
      </c>
      <c r="D94" s="221">
        <f t="shared" si="29"/>
        <v>44312</v>
      </c>
      <c r="E94" s="207" t="s">
        <v>8</v>
      </c>
      <c r="F94" s="162">
        <v>9</v>
      </c>
      <c r="G94" s="200">
        <v>66</v>
      </c>
      <c r="H94" s="201">
        <f t="shared" si="25"/>
        <v>7.0559102035395256</v>
      </c>
      <c r="I94" s="201">
        <f t="shared" si="20"/>
        <v>5.1121348776600728</v>
      </c>
      <c r="J94" s="202">
        <f t="shared" si="2"/>
        <v>337.40090192556482</v>
      </c>
      <c r="K94" s="203">
        <f t="shared" ref="K94:K133" si="30">+$G94*H94</f>
        <v>465.69007343360869</v>
      </c>
      <c r="L94" s="204">
        <f>+J94-K94</f>
        <v>-128.28917150804386</v>
      </c>
      <c r="M94" s="205">
        <f t="shared" si="26"/>
        <v>-4.0938804348094804</v>
      </c>
      <c r="N94" s="206">
        <f t="shared" si="27"/>
        <v>-132.38305194285334</v>
      </c>
      <c r="O94" s="205">
        <v>0</v>
      </c>
      <c r="P94" s="205">
        <v>0</v>
      </c>
      <c r="Q94" s="205">
        <v>0</v>
      </c>
      <c r="R94" s="206">
        <f t="shared" si="28"/>
        <v>-132.38305194285334</v>
      </c>
    </row>
    <row r="95" spans="1:18" x14ac:dyDescent="0.2">
      <c r="A95" s="124">
        <v>4</v>
      </c>
      <c r="B95" s="197">
        <f t="shared" si="4"/>
        <v>44287</v>
      </c>
      <c r="C95" s="221">
        <f t="shared" si="29"/>
        <v>44321</v>
      </c>
      <c r="D95" s="221">
        <f t="shared" si="29"/>
        <v>44340</v>
      </c>
      <c r="E95" s="207" t="s">
        <v>8</v>
      </c>
      <c r="F95" s="162">
        <v>9</v>
      </c>
      <c r="G95" s="200">
        <v>67</v>
      </c>
      <c r="H95" s="201">
        <f t="shared" si="25"/>
        <v>7.0559102035395256</v>
      </c>
      <c r="I95" s="201">
        <f t="shared" si="20"/>
        <v>5.1121348776600728</v>
      </c>
      <c r="J95" s="202">
        <f t="shared" si="2"/>
        <v>342.51303680322485</v>
      </c>
      <c r="K95" s="203">
        <f t="shared" si="30"/>
        <v>472.74598363714824</v>
      </c>
      <c r="L95" s="204">
        <f t="shared" ref="L95:L105" si="31">+J95-K95</f>
        <v>-130.23294683392339</v>
      </c>
      <c r="M95" s="205">
        <f t="shared" si="26"/>
        <v>-4.1559089262459876</v>
      </c>
      <c r="N95" s="206">
        <f t="shared" si="27"/>
        <v>-134.38885576016938</v>
      </c>
      <c r="O95" s="205">
        <v>0</v>
      </c>
      <c r="P95" s="205">
        <v>0</v>
      </c>
      <c r="Q95" s="205">
        <v>0</v>
      </c>
      <c r="R95" s="206">
        <f t="shared" si="28"/>
        <v>-134.38885576016938</v>
      </c>
    </row>
    <row r="96" spans="1:18" x14ac:dyDescent="0.2">
      <c r="A96" s="162">
        <v>5</v>
      </c>
      <c r="B96" s="197">
        <f t="shared" si="4"/>
        <v>44317</v>
      </c>
      <c r="C96" s="221">
        <f t="shared" ref="C96:D116" si="32">+C84</f>
        <v>44350</v>
      </c>
      <c r="D96" s="221">
        <f t="shared" si="32"/>
        <v>44371</v>
      </c>
      <c r="E96" s="54" t="s">
        <v>8</v>
      </c>
      <c r="F96" s="162">
        <v>9</v>
      </c>
      <c r="G96" s="200">
        <v>101</v>
      </c>
      <c r="H96" s="201">
        <f t="shared" si="25"/>
        <v>7.0559102035395256</v>
      </c>
      <c r="I96" s="201">
        <f t="shared" si="20"/>
        <v>5.1121348776600728</v>
      </c>
      <c r="J96" s="202">
        <f t="shared" si="2"/>
        <v>516.32562264366732</v>
      </c>
      <c r="K96" s="203">
        <f t="shared" si="30"/>
        <v>712.64693055749206</v>
      </c>
      <c r="L96" s="204">
        <f t="shared" si="31"/>
        <v>-196.32130791382474</v>
      </c>
      <c r="M96" s="205">
        <f t="shared" si="26"/>
        <v>-6.2648776350872364</v>
      </c>
      <c r="N96" s="206">
        <f t="shared" si="27"/>
        <v>-202.58618554891197</v>
      </c>
      <c r="O96" s="205">
        <v>0</v>
      </c>
      <c r="P96" s="205">
        <v>0</v>
      </c>
      <c r="Q96" s="205">
        <v>0</v>
      </c>
      <c r="R96" s="206">
        <f t="shared" si="28"/>
        <v>-202.58618554891197</v>
      </c>
    </row>
    <row r="97" spans="1:18" x14ac:dyDescent="0.2">
      <c r="A97" s="162">
        <v>6</v>
      </c>
      <c r="B97" s="197">
        <f t="shared" si="4"/>
        <v>44348</v>
      </c>
      <c r="C97" s="221">
        <f t="shared" si="32"/>
        <v>44383</v>
      </c>
      <c r="D97" s="221">
        <f t="shared" si="32"/>
        <v>44401</v>
      </c>
      <c r="E97" s="54" t="s">
        <v>8</v>
      </c>
      <c r="F97" s="162">
        <v>9</v>
      </c>
      <c r="G97" s="200">
        <v>141</v>
      </c>
      <c r="H97" s="201">
        <f t="shared" si="25"/>
        <v>7.0559102035395256</v>
      </c>
      <c r="I97" s="201">
        <f t="shared" si="20"/>
        <v>5.1121348776600728</v>
      </c>
      <c r="J97" s="202">
        <f t="shared" si="2"/>
        <v>720.81101775007028</v>
      </c>
      <c r="K97" s="203">
        <f t="shared" si="30"/>
        <v>994.88333869907308</v>
      </c>
      <c r="L97" s="208">
        <f t="shared" si="31"/>
        <v>-274.0723209490028</v>
      </c>
      <c r="M97" s="205">
        <f t="shared" si="26"/>
        <v>-8.7460172925475277</v>
      </c>
      <c r="N97" s="206">
        <f t="shared" si="27"/>
        <v>-282.81833824155035</v>
      </c>
      <c r="O97" s="205">
        <v>0</v>
      </c>
      <c r="P97" s="205">
        <v>0</v>
      </c>
      <c r="Q97" s="205">
        <v>0</v>
      </c>
      <c r="R97" s="206">
        <f t="shared" si="28"/>
        <v>-282.81833824155035</v>
      </c>
    </row>
    <row r="98" spans="1:18" x14ac:dyDescent="0.2">
      <c r="A98" s="124">
        <v>7</v>
      </c>
      <c r="B98" s="197">
        <f t="shared" si="4"/>
        <v>44378</v>
      </c>
      <c r="C98" s="221">
        <f t="shared" si="32"/>
        <v>44412</v>
      </c>
      <c r="D98" s="221">
        <f t="shared" si="32"/>
        <v>44432</v>
      </c>
      <c r="E98" s="54" t="s">
        <v>8</v>
      </c>
      <c r="F98" s="162">
        <v>9</v>
      </c>
      <c r="G98" s="200">
        <v>145</v>
      </c>
      <c r="H98" s="201">
        <f t="shared" si="25"/>
        <v>7.0559102035395256</v>
      </c>
      <c r="I98" s="201">
        <f t="shared" si="20"/>
        <v>5.1121348776600728</v>
      </c>
      <c r="J98" s="202">
        <f t="shared" si="2"/>
        <v>741.25955726071061</v>
      </c>
      <c r="K98" s="209">
        <f t="shared" si="30"/>
        <v>1023.1069795132312</v>
      </c>
      <c r="L98" s="208">
        <f t="shared" si="31"/>
        <v>-281.84742225252057</v>
      </c>
      <c r="M98" s="205">
        <f t="shared" si="26"/>
        <v>-8.9941312582935566</v>
      </c>
      <c r="N98" s="206">
        <f t="shared" si="27"/>
        <v>-290.84155351081415</v>
      </c>
      <c r="O98" s="205">
        <v>0</v>
      </c>
      <c r="P98" s="205">
        <v>0</v>
      </c>
      <c r="Q98" s="205">
        <v>0</v>
      </c>
      <c r="R98" s="206">
        <f t="shared" si="28"/>
        <v>-290.84155351081415</v>
      </c>
    </row>
    <row r="99" spans="1:18" x14ac:dyDescent="0.2">
      <c r="A99" s="162">
        <v>8</v>
      </c>
      <c r="B99" s="197">
        <f t="shared" si="4"/>
        <v>44409</v>
      </c>
      <c r="C99" s="221">
        <f t="shared" si="32"/>
        <v>44442</v>
      </c>
      <c r="D99" s="221">
        <f t="shared" si="32"/>
        <v>44463</v>
      </c>
      <c r="E99" s="54" t="s">
        <v>8</v>
      </c>
      <c r="F99" s="162">
        <v>9</v>
      </c>
      <c r="G99" s="200">
        <v>149</v>
      </c>
      <c r="H99" s="201">
        <f t="shared" si="25"/>
        <v>7.0559102035395256</v>
      </c>
      <c r="I99" s="201">
        <f t="shared" si="20"/>
        <v>5.1121348776600728</v>
      </c>
      <c r="J99" s="202">
        <f t="shared" si="2"/>
        <v>761.70809677135082</v>
      </c>
      <c r="K99" s="209">
        <f t="shared" si="30"/>
        <v>1051.3306203273894</v>
      </c>
      <c r="L99" s="208">
        <f t="shared" si="31"/>
        <v>-289.62252355603857</v>
      </c>
      <c r="M99" s="205">
        <f t="shared" si="26"/>
        <v>-9.2422452240395856</v>
      </c>
      <c r="N99" s="206">
        <f t="shared" si="27"/>
        <v>-298.86476878007818</v>
      </c>
      <c r="O99" s="205">
        <v>0</v>
      </c>
      <c r="P99" s="205">
        <v>0</v>
      </c>
      <c r="Q99" s="205">
        <v>0</v>
      </c>
      <c r="R99" s="206">
        <f t="shared" si="28"/>
        <v>-298.86476878007818</v>
      </c>
    </row>
    <row r="100" spans="1:18" x14ac:dyDescent="0.2">
      <c r="A100" s="162">
        <v>9</v>
      </c>
      <c r="B100" s="197">
        <f t="shared" si="4"/>
        <v>44440</v>
      </c>
      <c r="C100" s="221">
        <f t="shared" si="32"/>
        <v>44474</v>
      </c>
      <c r="D100" s="221">
        <f t="shared" si="32"/>
        <v>44494</v>
      </c>
      <c r="E100" s="54" t="s">
        <v>8</v>
      </c>
      <c r="F100" s="162">
        <v>9</v>
      </c>
      <c r="G100" s="200">
        <v>150</v>
      </c>
      <c r="H100" s="201">
        <f t="shared" si="25"/>
        <v>7.0559102035395256</v>
      </c>
      <c r="I100" s="201">
        <f t="shared" si="20"/>
        <v>5.1121348776600728</v>
      </c>
      <c r="J100" s="202">
        <f t="shared" si="2"/>
        <v>766.82023164901091</v>
      </c>
      <c r="K100" s="209">
        <f t="shared" si="30"/>
        <v>1058.3865305309289</v>
      </c>
      <c r="L100" s="208">
        <f t="shared" si="31"/>
        <v>-291.56629888191799</v>
      </c>
      <c r="M100" s="205">
        <f t="shared" si="26"/>
        <v>-9.3042737154760928</v>
      </c>
      <c r="N100" s="206">
        <f t="shared" si="27"/>
        <v>-300.87057259739407</v>
      </c>
      <c r="O100" s="205">
        <v>0</v>
      </c>
      <c r="P100" s="205">
        <v>0</v>
      </c>
      <c r="Q100" s="205">
        <v>0</v>
      </c>
      <c r="R100" s="206">
        <f t="shared" si="28"/>
        <v>-300.87057259739407</v>
      </c>
    </row>
    <row r="101" spans="1:18" x14ac:dyDescent="0.2">
      <c r="A101" s="124">
        <v>10</v>
      </c>
      <c r="B101" s="197">
        <f t="shared" si="4"/>
        <v>44470</v>
      </c>
      <c r="C101" s="221">
        <f t="shared" si="32"/>
        <v>44503</v>
      </c>
      <c r="D101" s="221">
        <f t="shared" si="32"/>
        <v>44524</v>
      </c>
      <c r="E101" s="54" t="s">
        <v>8</v>
      </c>
      <c r="F101" s="162">
        <v>9</v>
      </c>
      <c r="G101" s="200">
        <v>114</v>
      </c>
      <c r="H101" s="201">
        <f t="shared" si="25"/>
        <v>7.0559102035395256</v>
      </c>
      <c r="I101" s="201">
        <f t="shared" si="20"/>
        <v>5.1121348776600728</v>
      </c>
      <c r="J101" s="202">
        <f t="shared" si="2"/>
        <v>582.78337605324828</v>
      </c>
      <c r="K101" s="209">
        <f t="shared" si="30"/>
        <v>804.37376320350586</v>
      </c>
      <c r="L101" s="208">
        <f t="shared" si="31"/>
        <v>-221.59038715025758</v>
      </c>
      <c r="M101" s="205">
        <f t="shared" si="26"/>
        <v>-7.0712480237618305</v>
      </c>
      <c r="N101" s="206">
        <f t="shared" si="27"/>
        <v>-228.66163517401941</v>
      </c>
      <c r="O101" s="205">
        <v>0</v>
      </c>
      <c r="P101" s="205">
        <v>0</v>
      </c>
      <c r="Q101" s="205">
        <v>0</v>
      </c>
      <c r="R101" s="206">
        <f t="shared" si="28"/>
        <v>-228.66163517401941</v>
      </c>
    </row>
    <row r="102" spans="1:18" x14ac:dyDescent="0.2">
      <c r="A102" s="162">
        <v>11</v>
      </c>
      <c r="B102" s="197">
        <f t="shared" si="4"/>
        <v>44501</v>
      </c>
      <c r="C102" s="221">
        <f t="shared" si="32"/>
        <v>44533</v>
      </c>
      <c r="D102" s="221">
        <f t="shared" si="32"/>
        <v>44557</v>
      </c>
      <c r="E102" s="54" t="s">
        <v>8</v>
      </c>
      <c r="F102" s="162">
        <v>9</v>
      </c>
      <c r="G102" s="200">
        <v>66</v>
      </c>
      <c r="H102" s="201">
        <f t="shared" si="25"/>
        <v>7.0559102035395256</v>
      </c>
      <c r="I102" s="201">
        <f t="shared" si="20"/>
        <v>5.1121348776600728</v>
      </c>
      <c r="J102" s="202">
        <f t="shared" si="2"/>
        <v>337.40090192556482</v>
      </c>
      <c r="K102" s="209">
        <f t="shared" si="30"/>
        <v>465.69007343360869</v>
      </c>
      <c r="L102" s="208">
        <f t="shared" si="31"/>
        <v>-128.28917150804386</v>
      </c>
      <c r="M102" s="205">
        <f t="shared" si="26"/>
        <v>-4.0938804348094804</v>
      </c>
      <c r="N102" s="206">
        <f t="shared" si="27"/>
        <v>-132.38305194285334</v>
      </c>
      <c r="O102" s="205">
        <v>0</v>
      </c>
      <c r="P102" s="205">
        <v>0</v>
      </c>
      <c r="Q102" s="205">
        <v>0</v>
      </c>
      <c r="R102" s="206">
        <f t="shared" si="28"/>
        <v>-132.38305194285334</v>
      </c>
    </row>
    <row r="103" spans="1:18" s="225" customFormat="1" x14ac:dyDescent="0.2">
      <c r="A103" s="162">
        <v>12</v>
      </c>
      <c r="B103" s="223">
        <f t="shared" si="4"/>
        <v>44531</v>
      </c>
      <c r="C103" s="221">
        <f t="shared" si="32"/>
        <v>44566</v>
      </c>
      <c r="D103" s="221">
        <f t="shared" si="32"/>
        <v>44585</v>
      </c>
      <c r="E103" s="224" t="s">
        <v>8</v>
      </c>
      <c r="F103" s="173">
        <v>9</v>
      </c>
      <c r="G103" s="212">
        <v>72</v>
      </c>
      <c r="H103" s="213">
        <f t="shared" si="25"/>
        <v>7.0559102035395256</v>
      </c>
      <c r="I103" s="213">
        <f t="shared" si="20"/>
        <v>5.1121348776600728</v>
      </c>
      <c r="J103" s="214">
        <f t="shared" si="2"/>
        <v>368.07371119152526</v>
      </c>
      <c r="K103" s="215">
        <f t="shared" si="30"/>
        <v>508.02553465484584</v>
      </c>
      <c r="L103" s="216">
        <f t="shared" si="31"/>
        <v>-139.95182346332058</v>
      </c>
      <c r="M103" s="205">
        <f t="shared" si="26"/>
        <v>-4.4660513834285247</v>
      </c>
      <c r="N103" s="206">
        <f t="shared" si="27"/>
        <v>-144.4178748467491</v>
      </c>
      <c r="O103" s="205">
        <v>0</v>
      </c>
      <c r="P103" s="205">
        <v>0</v>
      </c>
      <c r="Q103" s="205">
        <v>0</v>
      </c>
      <c r="R103" s="206">
        <f t="shared" si="28"/>
        <v>-144.4178748467491</v>
      </c>
    </row>
    <row r="104" spans="1:18" x14ac:dyDescent="0.2">
      <c r="A104" s="124">
        <v>1</v>
      </c>
      <c r="B104" s="197">
        <f t="shared" si="4"/>
        <v>44197</v>
      </c>
      <c r="C104" s="218">
        <f t="shared" si="32"/>
        <v>44230</v>
      </c>
      <c r="D104" s="218">
        <f t="shared" si="32"/>
        <v>44251</v>
      </c>
      <c r="E104" s="199" t="s">
        <v>19</v>
      </c>
      <c r="F104" s="124">
        <v>9</v>
      </c>
      <c r="G104" s="200">
        <v>37</v>
      </c>
      <c r="H104" s="201">
        <f t="shared" si="25"/>
        <v>7.0559102035395256</v>
      </c>
      <c r="I104" s="201">
        <f t="shared" si="20"/>
        <v>5.1121348776600728</v>
      </c>
      <c r="J104" s="202">
        <f t="shared" si="2"/>
        <v>189.14899047342269</v>
      </c>
      <c r="K104" s="203">
        <f t="shared" si="30"/>
        <v>261.06867753096242</v>
      </c>
      <c r="L104" s="204">
        <f t="shared" si="31"/>
        <v>-71.919687057539733</v>
      </c>
      <c r="M104" s="205">
        <f t="shared" si="26"/>
        <v>-2.2950541831507696</v>
      </c>
      <c r="N104" s="206">
        <f t="shared" si="27"/>
        <v>-74.2147412406905</v>
      </c>
      <c r="O104" s="205">
        <v>0</v>
      </c>
      <c r="P104" s="205">
        <v>0</v>
      </c>
      <c r="Q104" s="205">
        <v>0</v>
      </c>
      <c r="R104" s="206">
        <f t="shared" si="28"/>
        <v>-74.2147412406905</v>
      </c>
    </row>
    <row r="105" spans="1:18" x14ac:dyDescent="0.2">
      <c r="A105" s="162">
        <v>2</v>
      </c>
      <c r="B105" s="197">
        <f t="shared" si="4"/>
        <v>44228</v>
      </c>
      <c r="C105" s="221">
        <f t="shared" si="32"/>
        <v>44258</v>
      </c>
      <c r="D105" s="221">
        <f t="shared" si="32"/>
        <v>44279</v>
      </c>
      <c r="E105" s="207" t="s">
        <v>19</v>
      </c>
      <c r="F105" s="162">
        <v>9</v>
      </c>
      <c r="G105" s="200">
        <v>33</v>
      </c>
      <c r="H105" s="201">
        <f t="shared" si="25"/>
        <v>7.0559102035395256</v>
      </c>
      <c r="I105" s="201">
        <f t="shared" si="20"/>
        <v>5.1121348776600728</v>
      </c>
      <c r="J105" s="202">
        <f t="shared" si="2"/>
        <v>168.70045096278241</v>
      </c>
      <c r="K105" s="203">
        <f t="shared" si="30"/>
        <v>232.84503671680434</v>
      </c>
      <c r="L105" s="204">
        <f t="shared" si="31"/>
        <v>-64.144585754021932</v>
      </c>
      <c r="M105" s="205">
        <f t="shared" si="26"/>
        <v>-2.0469402174047402</v>
      </c>
      <c r="N105" s="206">
        <f t="shared" si="27"/>
        <v>-66.191525971426671</v>
      </c>
      <c r="O105" s="205">
        <v>0</v>
      </c>
      <c r="P105" s="205">
        <v>0</v>
      </c>
      <c r="Q105" s="205">
        <v>0</v>
      </c>
      <c r="R105" s="206">
        <f t="shared" si="28"/>
        <v>-66.191525971426671</v>
      </c>
    </row>
    <row r="106" spans="1:18" x14ac:dyDescent="0.2">
      <c r="A106" s="162">
        <v>3</v>
      </c>
      <c r="B106" s="197">
        <f t="shared" si="4"/>
        <v>44256</v>
      </c>
      <c r="C106" s="221">
        <f t="shared" si="32"/>
        <v>44291</v>
      </c>
      <c r="D106" s="221">
        <f t="shared" si="32"/>
        <v>44312</v>
      </c>
      <c r="E106" s="207" t="s">
        <v>19</v>
      </c>
      <c r="F106" s="162">
        <v>9</v>
      </c>
      <c r="G106" s="200">
        <v>47</v>
      </c>
      <c r="H106" s="201">
        <f t="shared" si="25"/>
        <v>7.0559102035395256</v>
      </c>
      <c r="I106" s="201">
        <f t="shared" si="20"/>
        <v>5.1121348776600728</v>
      </c>
      <c r="J106" s="202">
        <f t="shared" si="2"/>
        <v>240.27033925002343</v>
      </c>
      <c r="K106" s="203">
        <f t="shared" si="30"/>
        <v>331.62777956635773</v>
      </c>
      <c r="L106" s="204">
        <f>+J106-K106</f>
        <v>-91.357440316334305</v>
      </c>
      <c r="M106" s="205">
        <f t="shared" si="26"/>
        <v>-2.9153390975158424</v>
      </c>
      <c r="N106" s="206">
        <f t="shared" si="27"/>
        <v>-94.272779413850145</v>
      </c>
      <c r="O106" s="205">
        <v>0</v>
      </c>
      <c r="P106" s="205">
        <v>0</v>
      </c>
      <c r="Q106" s="205">
        <v>0</v>
      </c>
      <c r="R106" s="206">
        <f t="shared" si="28"/>
        <v>-94.272779413850145</v>
      </c>
    </row>
    <row r="107" spans="1:18" x14ac:dyDescent="0.2">
      <c r="A107" s="124">
        <v>4</v>
      </c>
      <c r="B107" s="197">
        <f t="shared" si="4"/>
        <v>44287</v>
      </c>
      <c r="C107" s="221">
        <f t="shared" si="32"/>
        <v>44321</v>
      </c>
      <c r="D107" s="221">
        <f t="shared" si="32"/>
        <v>44340</v>
      </c>
      <c r="E107" s="54" t="s">
        <v>19</v>
      </c>
      <c r="F107" s="162">
        <v>9</v>
      </c>
      <c r="G107" s="200">
        <v>39</v>
      </c>
      <c r="H107" s="201">
        <f t="shared" si="25"/>
        <v>7.0559102035395256</v>
      </c>
      <c r="I107" s="201">
        <f t="shared" si="20"/>
        <v>5.1121348776600728</v>
      </c>
      <c r="J107" s="202">
        <f t="shared" si="2"/>
        <v>199.37326022874285</v>
      </c>
      <c r="K107" s="203">
        <f t="shared" si="30"/>
        <v>275.18049793804153</v>
      </c>
      <c r="L107" s="204">
        <f t="shared" ref="L107:L115" si="33">+J107-K107</f>
        <v>-75.807237709298676</v>
      </c>
      <c r="M107" s="205">
        <f t="shared" si="26"/>
        <v>-2.4191111660237841</v>
      </c>
      <c r="N107" s="206">
        <f t="shared" si="27"/>
        <v>-78.226348875322458</v>
      </c>
      <c r="O107" s="205">
        <v>0</v>
      </c>
      <c r="P107" s="205">
        <v>0</v>
      </c>
      <c r="Q107" s="205">
        <v>0</v>
      </c>
      <c r="R107" s="206">
        <f t="shared" si="28"/>
        <v>-78.226348875322458</v>
      </c>
    </row>
    <row r="108" spans="1:18" x14ac:dyDescent="0.2">
      <c r="A108" s="162">
        <v>5</v>
      </c>
      <c r="B108" s="197">
        <f t="shared" si="4"/>
        <v>44317</v>
      </c>
      <c r="C108" s="221">
        <f t="shared" si="32"/>
        <v>44350</v>
      </c>
      <c r="D108" s="221">
        <f t="shared" si="32"/>
        <v>44371</v>
      </c>
      <c r="E108" s="54" t="s">
        <v>19</v>
      </c>
      <c r="F108" s="162">
        <v>9</v>
      </c>
      <c r="G108" s="200">
        <v>46</v>
      </c>
      <c r="H108" s="201">
        <f t="shared" si="25"/>
        <v>7.0559102035395256</v>
      </c>
      <c r="I108" s="201">
        <f t="shared" ref="I108:I127" si="34">$J$3</f>
        <v>5.1121348776600728</v>
      </c>
      <c r="J108" s="202">
        <f t="shared" si="2"/>
        <v>235.15820437236334</v>
      </c>
      <c r="K108" s="203">
        <f t="shared" si="30"/>
        <v>324.57186936281818</v>
      </c>
      <c r="L108" s="204">
        <f t="shared" si="33"/>
        <v>-89.413664990454834</v>
      </c>
      <c r="M108" s="205">
        <f t="shared" si="26"/>
        <v>-2.8533106060793352</v>
      </c>
      <c r="N108" s="206">
        <f t="shared" si="27"/>
        <v>-92.266975596534166</v>
      </c>
      <c r="O108" s="205">
        <v>0</v>
      </c>
      <c r="P108" s="205">
        <v>0</v>
      </c>
      <c r="Q108" s="205">
        <v>0</v>
      </c>
      <c r="R108" s="206">
        <f t="shared" si="28"/>
        <v>-92.266975596534166</v>
      </c>
    </row>
    <row r="109" spans="1:18" x14ac:dyDescent="0.2">
      <c r="A109" s="162">
        <v>6</v>
      </c>
      <c r="B109" s="197">
        <f t="shared" ref="B109:B148" si="35">DATE($R$1,A109,1)</f>
        <v>44348</v>
      </c>
      <c r="C109" s="221">
        <f t="shared" si="32"/>
        <v>44383</v>
      </c>
      <c r="D109" s="221">
        <f t="shared" si="32"/>
        <v>44401</v>
      </c>
      <c r="E109" s="54" t="s">
        <v>19</v>
      </c>
      <c r="F109" s="162">
        <v>9</v>
      </c>
      <c r="G109" s="200">
        <v>51</v>
      </c>
      <c r="H109" s="201">
        <f t="shared" si="25"/>
        <v>7.0559102035395256</v>
      </c>
      <c r="I109" s="201">
        <f t="shared" si="34"/>
        <v>5.1121348776600728</v>
      </c>
      <c r="J109" s="202">
        <f t="shared" ref="J109:J148" si="36">+$G109*I109</f>
        <v>260.7188787606637</v>
      </c>
      <c r="K109" s="203">
        <f t="shared" si="30"/>
        <v>359.85142038051583</v>
      </c>
      <c r="L109" s="208">
        <f t="shared" si="33"/>
        <v>-99.132541619852134</v>
      </c>
      <c r="M109" s="205">
        <f t="shared" si="26"/>
        <v>-3.1634530632618718</v>
      </c>
      <c r="N109" s="206">
        <f t="shared" si="27"/>
        <v>-102.295994683114</v>
      </c>
      <c r="O109" s="205">
        <v>0</v>
      </c>
      <c r="P109" s="205">
        <v>0</v>
      </c>
      <c r="Q109" s="205">
        <v>0</v>
      </c>
      <c r="R109" s="206">
        <f t="shared" si="28"/>
        <v>-102.295994683114</v>
      </c>
    </row>
    <row r="110" spans="1:18" x14ac:dyDescent="0.2">
      <c r="A110" s="124">
        <v>7</v>
      </c>
      <c r="B110" s="197">
        <f t="shared" si="35"/>
        <v>44378</v>
      </c>
      <c r="C110" s="221">
        <f t="shared" si="32"/>
        <v>44412</v>
      </c>
      <c r="D110" s="221">
        <f t="shared" si="32"/>
        <v>44432</v>
      </c>
      <c r="E110" s="54" t="s">
        <v>19</v>
      </c>
      <c r="F110" s="162">
        <v>9</v>
      </c>
      <c r="G110" s="200">
        <v>46</v>
      </c>
      <c r="H110" s="201">
        <f t="shared" si="25"/>
        <v>7.0559102035395256</v>
      </c>
      <c r="I110" s="201">
        <f t="shared" si="34"/>
        <v>5.1121348776600728</v>
      </c>
      <c r="J110" s="202">
        <f t="shared" si="36"/>
        <v>235.15820437236334</v>
      </c>
      <c r="K110" s="209">
        <f t="shared" si="30"/>
        <v>324.57186936281818</v>
      </c>
      <c r="L110" s="208">
        <f t="shared" si="33"/>
        <v>-89.413664990454834</v>
      </c>
      <c r="M110" s="205">
        <f t="shared" si="26"/>
        <v>-2.8533106060793352</v>
      </c>
      <c r="N110" s="206">
        <f t="shared" si="27"/>
        <v>-92.266975596534166</v>
      </c>
      <c r="O110" s="205">
        <v>0</v>
      </c>
      <c r="P110" s="205">
        <v>0</v>
      </c>
      <c r="Q110" s="205">
        <v>0</v>
      </c>
      <c r="R110" s="206">
        <f t="shared" si="28"/>
        <v>-92.266975596534166</v>
      </c>
    </row>
    <row r="111" spans="1:18" x14ac:dyDescent="0.2">
      <c r="A111" s="162">
        <v>8</v>
      </c>
      <c r="B111" s="197">
        <f t="shared" si="35"/>
        <v>44409</v>
      </c>
      <c r="C111" s="221">
        <f t="shared" si="32"/>
        <v>44442</v>
      </c>
      <c r="D111" s="221">
        <f t="shared" si="32"/>
        <v>44463</v>
      </c>
      <c r="E111" s="54" t="s">
        <v>19</v>
      </c>
      <c r="F111" s="162">
        <v>9</v>
      </c>
      <c r="G111" s="200">
        <v>50</v>
      </c>
      <c r="H111" s="201">
        <f t="shared" si="25"/>
        <v>7.0559102035395256</v>
      </c>
      <c r="I111" s="201">
        <f t="shared" si="34"/>
        <v>5.1121348776600728</v>
      </c>
      <c r="J111" s="202">
        <f t="shared" si="36"/>
        <v>255.60674388300365</v>
      </c>
      <c r="K111" s="209">
        <f t="shared" si="30"/>
        <v>352.79551017697628</v>
      </c>
      <c r="L111" s="208">
        <f t="shared" si="33"/>
        <v>-97.188766293972634</v>
      </c>
      <c r="M111" s="205">
        <f t="shared" si="26"/>
        <v>-3.1014245718253646</v>
      </c>
      <c r="N111" s="206">
        <f t="shared" si="27"/>
        <v>-100.290190865798</v>
      </c>
      <c r="O111" s="205">
        <v>0</v>
      </c>
      <c r="P111" s="205">
        <v>0</v>
      </c>
      <c r="Q111" s="205">
        <v>0</v>
      </c>
      <c r="R111" s="206">
        <f t="shared" si="28"/>
        <v>-100.290190865798</v>
      </c>
    </row>
    <row r="112" spans="1:18" x14ac:dyDescent="0.2">
      <c r="A112" s="162">
        <v>9</v>
      </c>
      <c r="B112" s="197">
        <f t="shared" si="35"/>
        <v>44440</v>
      </c>
      <c r="C112" s="221">
        <f t="shared" si="32"/>
        <v>44474</v>
      </c>
      <c r="D112" s="221">
        <f t="shared" si="32"/>
        <v>44494</v>
      </c>
      <c r="E112" s="54" t="s">
        <v>19</v>
      </c>
      <c r="F112" s="162">
        <v>9</v>
      </c>
      <c r="G112" s="200">
        <v>45</v>
      </c>
      <c r="H112" s="201">
        <f t="shared" si="25"/>
        <v>7.0559102035395256</v>
      </c>
      <c r="I112" s="201">
        <f t="shared" si="34"/>
        <v>5.1121348776600728</v>
      </c>
      <c r="J112" s="202">
        <f t="shared" si="36"/>
        <v>230.04606949470329</v>
      </c>
      <c r="K112" s="209">
        <f t="shared" si="30"/>
        <v>317.51595915927862</v>
      </c>
      <c r="L112" s="208">
        <f t="shared" si="33"/>
        <v>-87.469889664575334</v>
      </c>
      <c r="M112" s="205">
        <f t="shared" si="26"/>
        <v>-2.7912821146428279</v>
      </c>
      <c r="N112" s="206">
        <f t="shared" si="27"/>
        <v>-90.261171779218159</v>
      </c>
      <c r="O112" s="205">
        <v>0</v>
      </c>
      <c r="P112" s="205">
        <v>0</v>
      </c>
      <c r="Q112" s="205">
        <v>0</v>
      </c>
      <c r="R112" s="206">
        <f t="shared" si="28"/>
        <v>-90.261171779218159</v>
      </c>
    </row>
    <row r="113" spans="1:18" x14ac:dyDescent="0.2">
      <c r="A113" s="124">
        <v>10</v>
      </c>
      <c r="B113" s="197">
        <f t="shared" si="35"/>
        <v>44470</v>
      </c>
      <c r="C113" s="221">
        <f t="shared" si="32"/>
        <v>44503</v>
      </c>
      <c r="D113" s="221">
        <f t="shared" si="32"/>
        <v>44524</v>
      </c>
      <c r="E113" s="54" t="s">
        <v>19</v>
      </c>
      <c r="F113" s="162">
        <v>9</v>
      </c>
      <c r="G113" s="200">
        <v>46</v>
      </c>
      <c r="H113" s="201">
        <f t="shared" si="25"/>
        <v>7.0559102035395256</v>
      </c>
      <c r="I113" s="201">
        <f t="shared" si="34"/>
        <v>5.1121348776600728</v>
      </c>
      <c r="J113" s="202">
        <f t="shared" si="36"/>
        <v>235.15820437236334</v>
      </c>
      <c r="K113" s="209">
        <f t="shared" si="30"/>
        <v>324.57186936281818</v>
      </c>
      <c r="L113" s="208">
        <f t="shared" si="33"/>
        <v>-89.413664990454834</v>
      </c>
      <c r="M113" s="205">
        <f t="shared" si="26"/>
        <v>-2.8533106060793352</v>
      </c>
      <c r="N113" s="206">
        <f t="shared" si="27"/>
        <v>-92.266975596534166</v>
      </c>
      <c r="O113" s="205">
        <v>0</v>
      </c>
      <c r="P113" s="205">
        <v>0</v>
      </c>
      <c r="Q113" s="205">
        <v>0</v>
      </c>
      <c r="R113" s="206">
        <f t="shared" si="28"/>
        <v>-92.266975596534166</v>
      </c>
    </row>
    <row r="114" spans="1:18" x14ac:dyDescent="0.2">
      <c r="A114" s="162">
        <v>11</v>
      </c>
      <c r="B114" s="197">
        <f t="shared" si="35"/>
        <v>44501</v>
      </c>
      <c r="C114" s="221">
        <f t="shared" si="32"/>
        <v>44533</v>
      </c>
      <c r="D114" s="221">
        <f t="shared" si="32"/>
        <v>44557</v>
      </c>
      <c r="E114" s="54" t="s">
        <v>19</v>
      </c>
      <c r="F114" s="162">
        <v>9</v>
      </c>
      <c r="G114" s="200">
        <v>48</v>
      </c>
      <c r="H114" s="201">
        <f t="shared" si="25"/>
        <v>7.0559102035395256</v>
      </c>
      <c r="I114" s="201">
        <f t="shared" si="34"/>
        <v>5.1121348776600728</v>
      </c>
      <c r="J114" s="202">
        <f t="shared" si="36"/>
        <v>245.38247412768351</v>
      </c>
      <c r="K114" s="209">
        <f t="shared" si="30"/>
        <v>338.68368976989723</v>
      </c>
      <c r="L114" s="208">
        <f t="shared" si="33"/>
        <v>-93.30121564221372</v>
      </c>
      <c r="M114" s="205">
        <f t="shared" si="26"/>
        <v>-2.9773675889523497</v>
      </c>
      <c r="N114" s="206">
        <f t="shared" si="27"/>
        <v>-96.278583231166067</v>
      </c>
      <c r="O114" s="205">
        <v>0</v>
      </c>
      <c r="P114" s="205">
        <v>0</v>
      </c>
      <c r="Q114" s="205">
        <v>0</v>
      </c>
      <c r="R114" s="206">
        <f t="shared" si="28"/>
        <v>-96.278583231166067</v>
      </c>
    </row>
    <row r="115" spans="1:18" s="225" customFormat="1" x14ac:dyDescent="0.2">
      <c r="A115" s="162">
        <v>12</v>
      </c>
      <c r="B115" s="223">
        <f t="shared" si="35"/>
        <v>44531</v>
      </c>
      <c r="C115" s="226">
        <f t="shared" si="32"/>
        <v>44566</v>
      </c>
      <c r="D115" s="226">
        <f t="shared" si="32"/>
        <v>44585</v>
      </c>
      <c r="E115" s="224" t="s">
        <v>19</v>
      </c>
      <c r="F115" s="173">
        <v>9</v>
      </c>
      <c r="G115" s="212">
        <v>42</v>
      </c>
      <c r="H115" s="213">
        <f t="shared" si="25"/>
        <v>7.0559102035395256</v>
      </c>
      <c r="I115" s="213">
        <f t="shared" si="34"/>
        <v>5.1121348776600728</v>
      </c>
      <c r="J115" s="214">
        <f t="shared" si="36"/>
        <v>214.70966486172307</v>
      </c>
      <c r="K115" s="215">
        <f t="shared" si="30"/>
        <v>296.34822854866007</v>
      </c>
      <c r="L115" s="216">
        <f t="shared" si="33"/>
        <v>-81.638563686937005</v>
      </c>
      <c r="M115" s="205">
        <f t="shared" si="26"/>
        <v>-2.6051966403333058</v>
      </c>
      <c r="N115" s="206">
        <f t="shared" si="27"/>
        <v>-84.243760327270309</v>
      </c>
      <c r="O115" s="205">
        <v>0</v>
      </c>
      <c r="P115" s="205">
        <v>0</v>
      </c>
      <c r="Q115" s="205">
        <v>0</v>
      </c>
      <c r="R115" s="206">
        <f t="shared" si="28"/>
        <v>-84.243760327270309</v>
      </c>
    </row>
    <row r="116" spans="1:18" x14ac:dyDescent="0.2">
      <c r="A116" s="124">
        <v>1</v>
      </c>
      <c r="B116" s="197">
        <f t="shared" si="35"/>
        <v>44197</v>
      </c>
      <c r="C116" s="221">
        <f t="shared" si="32"/>
        <v>44230</v>
      </c>
      <c r="D116" s="221">
        <f t="shared" si="32"/>
        <v>44251</v>
      </c>
      <c r="E116" s="199" t="s">
        <v>13</v>
      </c>
      <c r="F116" s="124">
        <v>9</v>
      </c>
      <c r="G116" s="200">
        <v>973</v>
      </c>
      <c r="H116" s="201">
        <f t="shared" si="25"/>
        <v>7.0559102035395256</v>
      </c>
      <c r="I116" s="201">
        <f t="shared" si="34"/>
        <v>5.1121348776600728</v>
      </c>
      <c r="J116" s="202">
        <f t="shared" si="36"/>
        <v>4974.1072359632508</v>
      </c>
      <c r="K116" s="203">
        <f t="shared" si="30"/>
        <v>6865.400628043958</v>
      </c>
      <c r="L116" s="204">
        <f>+J116-K116</f>
        <v>-1891.2933920807072</v>
      </c>
      <c r="M116" s="205">
        <f t="shared" si="26"/>
        <v>-60.353722167721585</v>
      </c>
      <c r="N116" s="206">
        <f t="shared" si="27"/>
        <v>-1951.6471142484288</v>
      </c>
      <c r="O116" s="205">
        <v>0</v>
      </c>
      <c r="P116" s="205">
        <v>0</v>
      </c>
      <c r="Q116" s="205">
        <v>0</v>
      </c>
      <c r="R116" s="206">
        <f t="shared" si="28"/>
        <v>-1951.6471142484288</v>
      </c>
    </row>
    <row r="117" spans="1:18" x14ac:dyDescent="0.2">
      <c r="A117" s="162">
        <v>2</v>
      </c>
      <c r="B117" s="197">
        <f t="shared" si="35"/>
        <v>44228</v>
      </c>
      <c r="C117" s="221">
        <f t="shared" ref="C117:D139" si="37">+C105</f>
        <v>44258</v>
      </c>
      <c r="D117" s="221">
        <f t="shared" si="37"/>
        <v>44279</v>
      </c>
      <c r="E117" s="207" t="s">
        <v>13</v>
      </c>
      <c r="F117" s="162">
        <v>9</v>
      </c>
      <c r="G117" s="200">
        <v>1338</v>
      </c>
      <c r="H117" s="201">
        <f t="shared" si="25"/>
        <v>7.0559102035395256</v>
      </c>
      <c r="I117" s="201">
        <f t="shared" si="34"/>
        <v>5.1121348776600728</v>
      </c>
      <c r="J117" s="202">
        <f t="shared" si="36"/>
        <v>6840.0364663091777</v>
      </c>
      <c r="K117" s="203">
        <f t="shared" si="30"/>
        <v>9440.8078523358854</v>
      </c>
      <c r="L117" s="204">
        <f>+J117-K117</f>
        <v>-2600.7713860267077</v>
      </c>
      <c r="M117" s="205">
        <f t="shared" si="26"/>
        <v>-82.994121542046756</v>
      </c>
      <c r="N117" s="206">
        <f t="shared" si="27"/>
        <v>-2683.7655075687544</v>
      </c>
      <c r="O117" s="205">
        <v>0</v>
      </c>
      <c r="P117" s="205">
        <v>0</v>
      </c>
      <c r="Q117" s="205">
        <v>0</v>
      </c>
      <c r="R117" s="206">
        <f t="shared" si="28"/>
        <v>-2683.7655075687544</v>
      </c>
    </row>
    <row r="118" spans="1:18" x14ac:dyDescent="0.2">
      <c r="A118" s="162">
        <v>3</v>
      </c>
      <c r="B118" s="197">
        <f t="shared" si="35"/>
        <v>44256</v>
      </c>
      <c r="C118" s="221">
        <f t="shared" si="37"/>
        <v>44291</v>
      </c>
      <c r="D118" s="221">
        <f t="shared" si="37"/>
        <v>44312</v>
      </c>
      <c r="E118" s="207" t="s">
        <v>13</v>
      </c>
      <c r="F118" s="162">
        <v>9</v>
      </c>
      <c r="G118" s="200">
        <v>790</v>
      </c>
      <c r="H118" s="201">
        <f t="shared" si="25"/>
        <v>7.0559102035395256</v>
      </c>
      <c r="I118" s="201">
        <f t="shared" si="34"/>
        <v>5.1121348776600728</v>
      </c>
      <c r="J118" s="202">
        <f t="shared" si="36"/>
        <v>4038.5865533514575</v>
      </c>
      <c r="K118" s="203">
        <f t="shared" si="30"/>
        <v>5574.1690607962255</v>
      </c>
      <c r="L118" s="204">
        <f>+J118-K118</f>
        <v>-1535.582507444768</v>
      </c>
      <c r="M118" s="205">
        <f t="shared" si="26"/>
        <v>-49.002508234840754</v>
      </c>
      <c r="N118" s="206">
        <f t="shared" si="27"/>
        <v>-1584.5850156796087</v>
      </c>
      <c r="O118" s="205">
        <v>0</v>
      </c>
      <c r="P118" s="205">
        <v>0</v>
      </c>
      <c r="Q118" s="205">
        <v>0</v>
      </c>
      <c r="R118" s="206">
        <f t="shared" si="28"/>
        <v>-1584.5850156796087</v>
      </c>
    </row>
    <row r="119" spans="1:18" x14ac:dyDescent="0.2">
      <c r="A119" s="124">
        <v>4</v>
      </c>
      <c r="B119" s="197">
        <f t="shared" si="35"/>
        <v>44287</v>
      </c>
      <c r="C119" s="221">
        <f t="shared" si="37"/>
        <v>44321</v>
      </c>
      <c r="D119" s="221">
        <f t="shared" si="37"/>
        <v>44340</v>
      </c>
      <c r="E119" s="54" t="s">
        <v>13</v>
      </c>
      <c r="F119" s="162">
        <v>9</v>
      </c>
      <c r="G119" s="200">
        <v>565</v>
      </c>
      <c r="H119" s="201">
        <f t="shared" si="25"/>
        <v>7.0559102035395256</v>
      </c>
      <c r="I119" s="201">
        <f t="shared" si="34"/>
        <v>5.1121348776600728</v>
      </c>
      <c r="J119" s="202">
        <f t="shared" si="36"/>
        <v>2888.3562058779412</v>
      </c>
      <c r="K119" s="203">
        <f t="shared" si="30"/>
        <v>3986.5892649998318</v>
      </c>
      <c r="L119" s="204">
        <f t="shared" ref="L119:L127" si="38">+J119-K119</f>
        <v>-1098.2330591218906</v>
      </c>
      <c r="M119" s="205">
        <f t="shared" si="26"/>
        <v>-35.046097661626618</v>
      </c>
      <c r="N119" s="206">
        <f t="shared" si="27"/>
        <v>-1133.2791567835172</v>
      </c>
      <c r="O119" s="205">
        <v>0</v>
      </c>
      <c r="P119" s="205">
        <v>0</v>
      </c>
      <c r="Q119" s="205">
        <v>0</v>
      </c>
      <c r="R119" s="206">
        <f t="shared" si="28"/>
        <v>-1133.2791567835172</v>
      </c>
    </row>
    <row r="120" spans="1:18" x14ac:dyDescent="0.2">
      <c r="A120" s="162">
        <v>5</v>
      </c>
      <c r="B120" s="197">
        <f t="shared" si="35"/>
        <v>44317</v>
      </c>
      <c r="C120" s="221">
        <f t="shared" si="37"/>
        <v>44350</v>
      </c>
      <c r="D120" s="221">
        <f t="shared" si="37"/>
        <v>44371</v>
      </c>
      <c r="E120" s="54" t="s">
        <v>13</v>
      </c>
      <c r="F120" s="162">
        <v>9</v>
      </c>
      <c r="G120" s="200">
        <v>636</v>
      </c>
      <c r="H120" s="201">
        <f t="shared" si="25"/>
        <v>7.0559102035395256</v>
      </c>
      <c r="I120" s="201">
        <f t="shared" si="34"/>
        <v>5.1121348776600728</v>
      </c>
      <c r="J120" s="202">
        <f t="shared" si="36"/>
        <v>3251.3177821918061</v>
      </c>
      <c r="K120" s="203">
        <f t="shared" si="30"/>
        <v>4487.5588894511384</v>
      </c>
      <c r="L120" s="204">
        <f t="shared" si="38"/>
        <v>-1236.2411072593322</v>
      </c>
      <c r="M120" s="205">
        <f t="shared" si="26"/>
        <v>-39.450120553618632</v>
      </c>
      <c r="N120" s="206">
        <f t="shared" si="27"/>
        <v>-1275.691227812951</v>
      </c>
      <c r="O120" s="205">
        <v>0</v>
      </c>
      <c r="P120" s="205">
        <v>0</v>
      </c>
      <c r="Q120" s="205">
        <v>0</v>
      </c>
      <c r="R120" s="206">
        <f t="shared" si="28"/>
        <v>-1275.691227812951</v>
      </c>
    </row>
    <row r="121" spans="1:18" x14ac:dyDescent="0.2">
      <c r="A121" s="162">
        <v>6</v>
      </c>
      <c r="B121" s="197">
        <f t="shared" si="35"/>
        <v>44348</v>
      </c>
      <c r="C121" s="221">
        <f t="shared" si="37"/>
        <v>44383</v>
      </c>
      <c r="D121" s="221">
        <f t="shared" si="37"/>
        <v>44401</v>
      </c>
      <c r="E121" s="54" t="s">
        <v>13</v>
      </c>
      <c r="F121" s="162">
        <v>9</v>
      </c>
      <c r="G121" s="200">
        <v>845</v>
      </c>
      <c r="H121" s="201">
        <f t="shared" si="25"/>
        <v>7.0559102035395256</v>
      </c>
      <c r="I121" s="201">
        <f t="shared" si="34"/>
        <v>5.1121348776600728</v>
      </c>
      <c r="J121" s="202">
        <f t="shared" si="36"/>
        <v>4319.7539716227611</v>
      </c>
      <c r="K121" s="203">
        <f t="shared" si="30"/>
        <v>5962.2441219908987</v>
      </c>
      <c r="L121" s="208">
        <f t="shared" si="38"/>
        <v>-1642.4901503681376</v>
      </c>
      <c r="M121" s="205">
        <f t="shared" si="26"/>
        <v>-52.414075263848659</v>
      </c>
      <c r="N121" s="206">
        <f t="shared" si="27"/>
        <v>-1694.9042256319863</v>
      </c>
      <c r="O121" s="205">
        <v>0</v>
      </c>
      <c r="P121" s="205">
        <v>0</v>
      </c>
      <c r="Q121" s="205">
        <v>0</v>
      </c>
      <c r="R121" s="206">
        <f t="shared" si="28"/>
        <v>-1694.9042256319863</v>
      </c>
    </row>
    <row r="122" spans="1:18" x14ac:dyDescent="0.2">
      <c r="A122" s="124">
        <v>7</v>
      </c>
      <c r="B122" s="197">
        <f t="shared" si="35"/>
        <v>44378</v>
      </c>
      <c r="C122" s="221">
        <f t="shared" si="37"/>
        <v>44412</v>
      </c>
      <c r="D122" s="221">
        <f t="shared" si="37"/>
        <v>44432</v>
      </c>
      <c r="E122" s="54" t="s">
        <v>13</v>
      </c>
      <c r="F122" s="162">
        <v>9</v>
      </c>
      <c r="G122" s="200">
        <v>897</v>
      </c>
      <c r="H122" s="201">
        <f t="shared" si="25"/>
        <v>7.0559102035395256</v>
      </c>
      <c r="I122" s="201">
        <f t="shared" si="34"/>
        <v>5.1121348776600728</v>
      </c>
      <c r="J122" s="202">
        <f t="shared" si="36"/>
        <v>4585.5849852610854</v>
      </c>
      <c r="K122" s="209">
        <f t="shared" si="30"/>
        <v>6329.1514525749544</v>
      </c>
      <c r="L122" s="208">
        <f t="shared" si="38"/>
        <v>-1743.566467313869</v>
      </c>
      <c r="M122" s="205">
        <f t="shared" si="26"/>
        <v>-55.639556818547035</v>
      </c>
      <c r="N122" s="206">
        <f t="shared" si="27"/>
        <v>-1799.2060241324161</v>
      </c>
      <c r="O122" s="205">
        <v>0</v>
      </c>
      <c r="P122" s="205">
        <v>0</v>
      </c>
      <c r="Q122" s="205">
        <v>0</v>
      </c>
      <c r="R122" s="206">
        <f t="shared" si="28"/>
        <v>-1799.2060241324161</v>
      </c>
    </row>
    <row r="123" spans="1:18" x14ac:dyDescent="0.2">
      <c r="A123" s="162">
        <v>8</v>
      </c>
      <c r="B123" s="197">
        <f t="shared" si="35"/>
        <v>44409</v>
      </c>
      <c r="C123" s="221">
        <f t="shared" si="37"/>
        <v>44442</v>
      </c>
      <c r="D123" s="221">
        <f t="shared" si="37"/>
        <v>44463</v>
      </c>
      <c r="E123" s="54" t="s">
        <v>13</v>
      </c>
      <c r="F123" s="162">
        <v>9</v>
      </c>
      <c r="G123" s="200">
        <v>899</v>
      </c>
      <c r="H123" s="201">
        <f t="shared" si="25"/>
        <v>7.0559102035395256</v>
      </c>
      <c r="I123" s="201">
        <f t="shared" si="34"/>
        <v>5.1121348776600728</v>
      </c>
      <c r="J123" s="202">
        <f t="shared" si="36"/>
        <v>4595.8092550164056</v>
      </c>
      <c r="K123" s="209">
        <f t="shared" si="30"/>
        <v>6343.2632729820334</v>
      </c>
      <c r="L123" s="208">
        <f t="shared" si="38"/>
        <v>-1747.4540179656278</v>
      </c>
      <c r="M123" s="205">
        <f t="shared" si="26"/>
        <v>-55.76361380142005</v>
      </c>
      <c r="N123" s="206">
        <f t="shared" si="27"/>
        <v>-1803.2176317670478</v>
      </c>
      <c r="O123" s="205">
        <v>0</v>
      </c>
      <c r="P123" s="205">
        <v>0</v>
      </c>
      <c r="Q123" s="205">
        <v>0</v>
      </c>
      <c r="R123" s="206">
        <f t="shared" si="28"/>
        <v>-1803.2176317670478</v>
      </c>
    </row>
    <row r="124" spans="1:18" x14ac:dyDescent="0.2">
      <c r="A124" s="162">
        <v>9</v>
      </c>
      <c r="B124" s="197">
        <f t="shared" si="35"/>
        <v>44440</v>
      </c>
      <c r="C124" s="221">
        <f t="shared" si="37"/>
        <v>44474</v>
      </c>
      <c r="D124" s="221">
        <f t="shared" si="37"/>
        <v>44494</v>
      </c>
      <c r="E124" s="54" t="s">
        <v>13</v>
      </c>
      <c r="F124" s="162">
        <v>9</v>
      </c>
      <c r="G124" s="200">
        <v>904</v>
      </c>
      <c r="H124" s="201">
        <f t="shared" si="25"/>
        <v>7.0559102035395256</v>
      </c>
      <c r="I124" s="201">
        <f t="shared" si="34"/>
        <v>5.1121348776600728</v>
      </c>
      <c r="J124" s="202">
        <f t="shared" si="36"/>
        <v>4621.3699294047055</v>
      </c>
      <c r="K124" s="209">
        <f t="shared" si="30"/>
        <v>6378.5428239997309</v>
      </c>
      <c r="L124" s="208">
        <f t="shared" si="38"/>
        <v>-1757.1728945950254</v>
      </c>
      <c r="M124" s="205">
        <f t="shared" si="26"/>
        <v>-56.073756258602586</v>
      </c>
      <c r="N124" s="206">
        <f t="shared" si="27"/>
        <v>-1813.2466508536279</v>
      </c>
      <c r="O124" s="205">
        <v>0</v>
      </c>
      <c r="P124" s="205">
        <v>0</v>
      </c>
      <c r="Q124" s="205">
        <v>0</v>
      </c>
      <c r="R124" s="206">
        <f t="shared" si="28"/>
        <v>-1813.2466508536279</v>
      </c>
    </row>
    <row r="125" spans="1:18" x14ac:dyDescent="0.2">
      <c r="A125" s="124">
        <v>10</v>
      </c>
      <c r="B125" s="197">
        <f t="shared" si="35"/>
        <v>44470</v>
      </c>
      <c r="C125" s="221">
        <f t="shared" si="37"/>
        <v>44503</v>
      </c>
      <c r="D125" s="221">
        <f t="shared" si="37"/>
        <v>44524</v>
      </c>
      <c r="E125" s="54" t="s">
        <v>13</v>
      </c>
      <c r="F125" s="162">
        <v>9</v>
      </c>
      <c r="G125" s="200">
        <v>685</v>
      </c>
      <c r="H125" s="201">
        <f t="shared" si="25"/>
        <v>7.0559102035395256</v>
      </c>
      <c r="I125" s="201">
        <f t="shared" si="34"/>
        <v>5.1121348776600728</v>
      </c>
      <c r="J125" s="202">
        <f t="shared" si="36"/>
        <v>3501.8123911971497</v>
      </c>
      <c r="K125" s="209">
        <f t="shared" si="30"/>
        <v>4833.2984894245747</v>
      </c>
      <c r="L125" s="208">
        <f t="shared" si="38"/>
        <v>-1331.4860982274249</v>
      </c>
      <c r="M125" s="205">
        <f t="shared" si="26"/>
        <v>-42.489516634007494</v>
      </c>
      <c r="N125" s="206">
        <f t="shared" si="27"/>
        <v>-1373.9756148614324</v>
      </c>
      <c r="O125" s="205">
        <v>0</v>
      </c>
      <c r="P125" s="205">
        <v>0</v>
      </c>
      <c r="Q125" s="205">
        <v>0</v>
      </c>
      <c r="R125" s="206">
        <f t="shared" si="28"/>
        <v>-1373.9756148614324</v>
      </c>
    </row>
    <row r="126" spans="1:18" x14ac:dyDescent="0.2">
      <c r="A126" s="162">
        <v>11</v>
      </c>
      <c r="B126" s="197">
        <f t="shared" si="35"/>
        <v>44501</v>
      </c>
      <c r="C126" s="221">
        <f t="shared" si="37"/>
        <v>44533</v>
      </c>
      <c r="D126" s="221">
        <f t="shared" si="37"/>
        <v>44557</v>
      </c>
      <c r="E126" s="54" t="s">
        <v>13</v>
      </c>
      <c r="F126" s="162">
        <v>9</v>
      </c>
      <c r="G126" s="200">
        <v>718</v>
      </c>
      <c r="H126" s="201">
        <f t="shared" si="25"/>
        <v>7.0559102035395256</v>
      </c>
      <c r="I126" s="201">
        <f t="shared" si="34"/>
        <v>5.1121348776600728</v>
      </c>
      <c r="J126" s="202">
        <f t="shared" si="36"/>
        <v>3670.5128421599325</v>
      </c>
      <c r="K126" s="209">
        <f t="shared" si="30"/>
        <v>5066.143526141379</v>
      </c>
      <c r="L126" s="208">
        <f t="shared" si="38"/>
        <v>-1395.6306839814465</v>
      </c>
      <c r="M126" s="205">
        <f t="shared" si="26"/>
        <v>-44.536456851412233</v>
      </c>
      <c r="N126" s="206">
        <f t="shared" si="27"/>
        <v>-1440.1671408328586</v>
      </c>
      <c r="O126" s="205">
        <v>0</v>
      </c>
      <c r="P126" s="205">
        <v>0</v>
      </c>
      <c r="Q126" s="205">
        <v>0</v>
      </c>
      <c r="R126" s="206">
        <f t="shared" si="28"/>
        <v>-1440.1671408328586</v>
      </c>
    </row>
    <row r="127" spans="1:18" s="225" customFormat="1" x14ac:dyDescent="0.2">
      <c r="A127" s="162">
        <v>12</v>
      </c>
      <c r="B127" s="223">
        <f t="shared" si="35"/>
        <v>44531</v>
      </c>
      <c r="C127" s="226">
        <f t="shared" si="37"/>
        <v>44566</v>
      </c>
      <c r="D127" s="226">
        <f t="shared" si="37"/>
        <v>44585</v>
      </c>
      <c r="E127" s="224" t="s">
        <v>13</v>
      </c>
      <c r="F127" s="173">
        <v>9</v>
      </c>
      <c r="G127" s="212">
        <v>770</v>
      </c>
      <c r="H127" s="213">
        <f t="shared" si="25"/>
        <v>7.0559102035395256</v>
      </c>
      <c r="I127" s="213">
        <f t="shared" si="34"/>
        <v>5.1121348776600728</v>
      </c>
      <c r="J127" s="214">
        <f t="shared" si="36"/>
        <v>3936.3438557982558</v>
      </c>
      <c r="K127" s="215">
        <f t="shared" si="30"/>
        <v>5433.0508567254346</v>
      </c>
      <c r="L127" s="216">
        <f t="shared" si="38"/>
        <v>-1496.7070009271788</v>
      </c>
      <c r="M127" s="205">
        <f t="shared" si="26"/>
        <v>-47.761938406110609</v>
      </c>
      <c r="N127" s="206">
        <f t="shared" si="27"/>
        <v>-1544.4689393332894</v>
      </c>
      <c r="O127" s="205">
        <v>0</v>
      </c>
      <c r="P127" s="205">
        <v>0</v>
      </c>
      <c r="Q127" s="205">
        <v>0</v>
      </c>
      <c r="R127" s="206">
        <f t="shared" si="28"/>
        <v>-1544.4689393332894</v>
      </c>
    </row>
    <row r="128" spans="1:18" x14ac:dyDescent="0.2">
      <c r="A128" s="124">
        <v>1</v>
      </c>
      <c r="B128" s="197">
        <f t="shared" si="35"/>
        <v>44197</v>
      </c>
      <c r="C128" s="221">
        <f t="shared" si="37"/>
        <v>44230</v>
      </c>
      <c r="D128" s="221">
        <f t="shared" si="37"/>
        <v>44251</v>
      </c>
      <c r="E128" s="199" t="s">
        <v>15</v>
      </c>
      <c r="F128" s="124">
        <v>9</v>
      </c>
      <c r="G128" s="200">
        <v>7</v>
      </c>
      <c r="H128" s="201">
        <f t="shared" si="25"/>
        <v>7.0559102035395256</v>
      </c>
      <c r="I128" s="201">
        <f t="shared" ref="I128:I147" si="39">$J$3</f>
        <v>5.1121348776600728</v>
      </c>
      <c r="J128" s="202">
        <f t="shared" si="36"/>
        <v>35.784944143620507</v>
      </c>
      <c r="K128" s="203">
        <f t="shared" si="30"/>
        <v>49.391371424776679</v>
      </c>
      <c r="L128" s="204">
        <f>+J128-K128</f>
        <v>-13.606427281156172</v>
      </c>
      <c r="M128" s="205">
        <f t="shared" si="26"/>
        <v>-0.434199440055551</v>
      </c>
      <c r="N128" s="206">
        <f t="shared" si="27"/>
        <v>-14.040626721211723</v>
      </c>
      <c r="O128" s="205">
        <v>0</v>
      </c>
      <c r="P128" s="205">
        <v>0</v>
      </c>
      <c r="Q128" s="205">
        <v>0</v>
      </c>
      <c r="R128" s="206">
        <f t="shared" si="28"/>
        <v>-14.040626721211723</v>
      </c>
    </row>
    <row r="129" spans="1:18" x14ac:dyDescent="0.2">
      <c r="A129" s="162">
        <v>2</v>
      </c>
      <c r="B129" s="197">
        <f t="shared" si="35"/>
        <v>44228</v>
      </c>
      <c r="C129" s="221">
        <f t="shared" si="37"/>
        <v>44258</v>
      </c>
      <c r="D129" s="221">
        <f t="shared" si="37"/>
        <v>44279</v>
      </c>
      <c r="E129" s="207" t="s">
        <v>15</v>
      </c>
      <c r="F129" s="162">
        <v>9</v>
      </c>
      <c r="G129" s="200">
        <v>8</v>
      </c>
      <c r="H129" s="201">
        <f t="shared" si="25"/>
        <v>7.0559102035395256</v>
      </c>
      <c r="I129" s="201">
        <f t="shared" si="39"/>
        <v>5.1121348776600728</v>
      </c>
      <c r="J129" s="202">
        <f t="shared" si="36"/>
        <v>40.897079021280582</v>
      </c>
      <c r="K129" s="203">
        <f t="shared" si="30"/>
        <v>56.447281628316205</v>
      </c>
      <c r="L129" s="204">
        <f>+J129-K129</f>
        <v>-15.550202607035622</v>
      </c>
      <c r="M129" s="205">
        <f t="shared" si="26"/>
        <v>-0.49622793149205824</v>
      </c>
      <c r="N129" s="206">
        <f t="shared" si="27"/>
        <v>-16.04643053852768</v>
      </c>
      <c r="O129" s="205">
        <v>0</v>
      </c>
      <c r="P129" s="205">
        <v>0</v>
      </c>
      <c r="Q129" s="205">
        <v>0</v>
      </c>
      <c r="R129" s="206">
        <f t="shared" si="28"/>
        <v>-16.04643053852768</v>
      </c>
    </row>
    <row r="130" spans="1:18" x14ac:dyDescent="0.2">
      <c r="A130" s="162">
        <v>3</v>
      </c>
      <c r="B130" s="197">
        <f t="shared" si="35"/>
        <v>44256</v>
      </c>
      <c r="C130" s="221">
        <f t="shared" si="37"/>
        <v>44291</v>
      </c>
      <c r="D130" s="221">
        <f t="shared" si="37"/>
        <v>44312</v>
      </c>
      <c r="E130" s="207" t="s">
        <v>15</v>
      </c>
      <c r="F130" s="162">
        <v>9</v>
      </c>
      <c r="G130" s="200">
        <v>5</v>
      </c>
      <c r="H130" s="201">
        <f t="shared" si="25"/>
        <v>7.0559102035395256</v>
      </c>
      <c r="I130" s="201">
        <f t="shared" si="39"/>
        <v>5.1121348776600728</v>
      </c>
      <c r="J130" s="202">
        <f t="shared" si="36"/>
        <v>25.560674388300363</v>
      </c>
      <c r="K130" s="203">
        <f t="shared" si="30"/>
        <v>35.279551017697628</v>
      </c>
      <c r="L130" s="204">
        <f>+J130-K130</f>
        <v>-9.7188766293972648</v>
      </c>
      <c r="M130" s="205">
        <f t="shared" si="26"/>
        <v>-0.31014245718253641</v>
      </c>
      <c r="N130" s="206">
        <f t="shared" si="27"/>
        <v>-10.029019086579801</v>
      </c>
      <c r="O130" s="205">
        <v>0</v>
      </c>
      <c r="P130" s="205">
        <v>0</v>
      </c>
      <c r="Q130" s="205">
        <v>0</v>
      </c>
      <c r="R130" s="206">
        <f t="shared" si="28"/>
        <v>-10.029019086579801</v>
      </c>
    </row>
    <row r="131" spans="1:18" x14ac:dyDescent="0.2">
      <c r="A131" s="124">
        <v>4</v>
      </c>
      <c r="B131" s="197">
        <f t="shared" si="35"/>
        <v>44287</v>
      </c>
      <c r="C131" s="221">
        <f t="shared" si="37"/>
        <v>44321</v>
      </c>
      <c r="D131" s="221">
        <f t="shared" si="37"/>
        <v>44340</v>
      </c>
      <c r="E131" s="207" t="s">
        <v>15</v>
      </c>
      <c r="F131" s="162">
        <v>9</v>
      </c>
      <c r="G131" s="200">
        <v>6</v>
      </c>
      <c r="H131" s="201">
        <f t="shared" si="25"/>
        <v>7.0559102035395256</v>
      </c>
      <c r="I131" s="201">
        <f t="shared" si="39"/>
        <v>5.1121348776600728</v>
      </c>
      <c r="J131" s="202">
        <f t="shared" si="36"/>
        <v>30.672809265960439</v>
      </c>
      <c r="K131" s="203">
        <f t="shared" si="30"/>
        <v>42.335461221237153</v>
      </c>
      <c r="L131" s="204">
        <f t="shared" ref="L131:L141" si="40">+J131-K131</f>
        <v>-11.662651955276715</v>
      </c>
      <c r="M131" s="205">
        <f t="shared" si="26"/>
        <v>-0.37217094861904371</v>
      </c>
      <c r="N131" s="206">
        <f t="shared" si="27"/>
        <v>-12.034822903895758</v>
      </c>
      <c r="O131" s="205">
        <v>0</v>
      </c>
      <c r="P131" s="205">
        <v>0</v>
      </c>
      <c r="Q131" s="205">
        <v>0</v>
      </c>
      <c r="R131" s="206">
        <f t="shared" si="28"/>
        <v>-12.034822903895758</v>
      </c>
    </row>
    <row r="132" spans="1:18" x14ac:dyDescent="0.2">
      <c r="A132" s="162">
        <v>5</v>
      </c>
      <c r="B132" s="197">
        <f t="shared" si="35"/>
        <v>44317</v>
      </c>
      <c r="C132" s="221">
        <f t="shared" si="37"/>
        <v>44350</v>
      </c>
      <c r="D132" s="221">
        <f t="shared" si="37"/>
        <v>44371</v>
      </c>
      <c r="E132" s="54" t="s">
        <v>15</v>
      </c>
      <c r="F132" s="162">
        <v>9</v>
      </c>
      <c r="G132" s="200">
        <v>4</v>
      </c>
      <c r="H132" s="201">
        <f t="shared" si="25"/>
        <v>7.0559102035395256</v>
      </c>
      <c r="I132" s="201">
        <f t="shared" si="39"/>
        <v>5.1121348776600728</v>
      </c>
      <c r="J132" s="202">
        <f t="shared" si="36"/>
        <v>20.448539510640291</v>
      </c>
      <c r="K132" s="203">
        <f t="shared" si="30"/>
        <v>28.223640814158102</v>
      </c>
      <c r="L132" s="204">
        <f t="shared" si="40"/>
        <v>-7.7751013035178111</v>
      </c>
      <c r="M132" s="205">
        <f t="shared" si="26"/>
        <v>-0.24811396574602912</v>
      </c>
      <c r="N132" s="206">
        <f t="shared" si="27"/>
        <v>-8.0232152692638401</v>
      </c>
      <c r="O132" s="205">
        <v>0</v>
      </c>
      <c r="P132" s="205">
        <v>0</v>
      </c>
      <c r="Q132" s="205">
        <v>0</v>
      </c>
      <c r="R132" s="206">
        <f t="shared" si="28"/>
        <v>-8.0232152692638401</v>
      </c>
    </row>
    <row r="133" spans="1:18" x14ac:dyDescent="0.2">
      <c r="A133" s="162">
        <v>6</v>
      </c>
      <c r="B133" s="197">
        <f t="shared" si="35"/>
        <v>44348</v>
      </c>
      <c r="C133" s="221">
        <f t="shared" si="37"/>
        <v>44383</v>
      </c>
      <c r="D133" s="221">
        <f t="shared" si="37"/>
        <v>44401</v>
      </c>
      <c r="E133" s="54" t="s">
        <v>15</v>
      </c>
      <c r="F133" s="162">
        <v>9</v>
      </c>
      <c r="G133" s="200">
        <v>13</v>
      </c>
      <c r="H133" s="201">
        <f t="shared" si="25"/>
        <v>7.0559102035395256</v>
      </c>
      <c r="I133" s="201">
        <f t="shared" si="39"/>
        <v>5.1121348776600728</v>
      </c>
      <c r="J133" s="202">
        <f t="shared" si="36"/>
        <v>66.457753409580945</v>
      </c>
      <c r="K133" s="203">
        <f t="shared" si="30"/>
        <v>91.726832646013833</v>
      </c>
      <c r="L133" s="208">
        <f t="shared" si="40"/>
        <v>-25.269079236432887</v>
      </c>
      <c r="M133" s="205">
        <f t="shared" si="26"/>
        <v>-0.80637038867459476</v>
      </c>
      <c r="N133" s="206">
        <f t="shared" si="27"/>
        <v>-26.075449625107481</v>
      </c>
      <c r="O133" s="205">
        <v>0</v>
      </c>
      <c r="P133" s="205">
        <v>0</v>
      </c>
      <c r="Q133" s="205">
        <v>0</v>
      </c>
      <c r="R133" s="206">
        <f t="shared" si="28"/>
        <v>-26.075449625107481</v>
      </c>
    </row>
    <row r="134" spans="1:18" x14ac:dyDescent="0.2">
      <c r="A134" s="124">
        <v>7</v>
      </c>
      <c r="B134" s="197">
        <f t="shared" si="35"/>
        <v>44378</v>
      </c>
      <c r="C134" s="221">
        <f t="shared" si="37"/>
        <v>44412</v>
      </c>
      <c r="D134" s="221">
        <f t="shared" si="37"/>
        <v>44432</v>
      </c>
      <c r="E134" s="54" t="s">
        <v>15</v>
      </c>
      <c r="F134" s="162">
        <v>9</v>
      </c>
      <c r="G134" s="200">
        <v>17</v>
      </c>
      <c r="H134" s="201">
        <f t="shared" si="25"/>
        <v>7.0559102035395256</v>
      </c>
      <c r="I134" s="201">
        <f t="shared" si="39"/>
        <v>5.1121348776600728</v>
      </c>
      <c r="J134" s="202">
        <f t="shared" si="36"/>
        <v>86.906292920221233</v>
      </c>
      <c r="K134" s="209">
        <f t="shared" ref="K134:K197" si="41">+$G134*H134</f>
        <v>119.95047346017193</v>
      </c>
      <c r="L134" s="208">
        <f t="shared" si="40"/>
        <v>-33.044180539950702</v>
      </c>
      <c r="M134" s="205">
        <f t="shared" si="26"/>
        <v>-1.0544843544206239</v>
      </c>
      <c r="N134" s="206">
        <f t="shared" si="27"/>
        <v>-34.098664894371325</v>
      </c>
      <c r="O134" s="205">
        <v>0</v>
      </c>
      <c r="P134" s="205">
        <v>0</v>
      </c>
      <c r="Q134" s="205">
        <v>0</v>
      </c>
      <c r="R134" s="206">
        <f t="shared" si="28"/>
        <v>-34.098664894371325</v>
      </c>
    </row>
    <row r="135" spans="1:18" x14ac:dyDescent="0.2">
      <c r="A135" s="162">
        <v>8</v>
      </c>
      <c r="B135" s="197">
        <f t="shared" si="35"/>
        <v>44409</v>
      </c>
      <c r="C135" s="221">
        <f t="shared" si="37"/>
        <v>44442</v>
      </c>
      <c r="D135" s="221">
        <f t="shared" si="37"/>
        <v>44463</v>
      </c>
      <c r="E135" s="54" t="s">
        <v>15</v>
      </c>
      <c r="F135" s="162">
        <v>9</v>
      </c>
      <c r="G135" s="200">
        <v>17</v>
      </c>
      <c r="H135" s="201">
        <f t="shared" si="25"/>
        <v>7.0559102035395256</v>
      </c>
      <c r="I135" s="201">
        <f t="shared" si="39"/>
        <v>5.1121348776600728</v>
      </c>
      <c r="J135" s="202">
        <f t="shared" si="36"/>
        <v>86.906292920221233</v>
      </c>
      <c r="K135" s="209">
        <f t="shared" si="41"/>
        <v>119.95047346017193</v>
      </c>
      <c r="L135" s="208">
        <f t="shared" si="40"/>
        <v>-33.044180539950702</v>
      </c>
      <c r="M135" s="205">
        <f t="shared" si="26"/>
        <v>-1.0544843544206239</v>
      </c>
      <c r="N135" s="206">
        <f t="shared" si="27"/>
        <v>-34.098664894371325</v>
      </c>
      <c r="O135" s="205">
        <v>0</v>
      </c>
      <c r="P135" s="205">
        <v>0</v>
      </c>
      <c r="Q135" s="205">
        <v>0</v>
      </c>
      <c r="R135" s="206">
        <f t="shared" si="28"/>
        <v>-34.098664894371325</v>
      </c>
    </row>
    <row r="136" spans="1:18" x14ac:dyDescent="0.2">
      <c r="A136" s="162">
        <v>9</v>
      </c>
      <c r="B136" s="197">
        <f t="shared" si="35"/>
        <v>44440</v>
      </c>
      <c r="C136" s="221">
        <f t="shared" si="37"/>
        <v>44474</v>
      </c>
      <c r="D136" s="221">
        <f t="shared" si="37"/>
        <v>44494</v>
      </c>
      <c r="E136" s="54" t="s">
        <v>15</v>
      </c>
      <c r="F136" s="162">
        <v>9</v>
      </c>
      <c r="G136" s="200">
        <v>16</v>
      </c>
      <c r="H136" s="201">
        <f t="shared" si="25"/>
        <v>7.0559102035395256</v>
      </c>
      <c r="I136" s="201">
        <f t="shared" si="39"/>
        <v>5.1121348776600728</v>
      </c>
      <c r="J136" s="202">
        <f t="shared" si="36"/>
        <v>81.794158042561165</v>
      </c>
      <c r="K136" s="209">
        <f t="shared" si="41"/>
        <v>112.89456325663241</v>
      </c>
      <c r="L136" s="208">
        <f t="shared" si="40"/>
        <v>-31.100405214071245</v>
      </c>
      <c r="M136" s="205">
        <f t="shared" si="26"/>
        <v>-0.99245586298411648</v>
      </c>
      <c r="N136" s="206">
        <f t="shared" si="27"/>
        <v>-32.09286107705536</v>
      </c>
      <c r="O136" s="205">
        <v>0</v>
      </c>
      <c r="P136" s="205">
        <v>0</v>
      </c>
      <c r="Q136" s="205">
        <v>0</v>
      </c>
      <c r="R136" s="206">
        <f t="shared" si="28"/>
        <v>-32.09286107705536</v>
      </c>
    </row>
    <row r="137" spans="1:18" x14ac:dyDescent="0.2">
      <c r="A137" s="124">
        <v>10</v>
      </c>
      <c r="B137" s="197">
        <f t="shared" si="35"/>
        <v>44470</v>
      </c>
      <c r="C137" s="221">
        <f t="shared" si="37"/>
        <v>44503</v>
      </c>
      <c r="D137" s="221">
        <f t="shared" si="37"/>
        <v>44524</v>
      </c>
      <c r="E137" s="54" t="s">
        <v>15</v>
      </c>
      <c r="F137" s="162">
        <v>9</v>
      </c>
      <c r="G137" s="200">
        <v>5</v>
      </c>
      <c r="H137" s="201">
        <f t="shared" si="25"/>
        <v>7.0559102035395256</v>
      </c>
      <c r="I137" s="201">
        <f t="shared" si="39"/>
        <v>5.1121348776600728</v>
      </c>
      <c r="J137" s="202">
        <f t="shared" si="36"/>
        <v>25.560674388300363</v>
      </c>
      <c r="K137" s="209">
        <f t="shared" si="41"/>
        <v>35.279551017697628</v>
      </c>
      <c r="L137" s="208">
        <f t="shared" si="40"/>
        <v>-9.7188766293972648</v>
      </c>
      <c r="M137" s="205">
        <f t="shared" si="26"/>
        <v>-0.31014245718253641</v>
      </c>
      <c r="N137" s="206">
        <f t="shared" si="27"/>
        <v>-10.029019086579801</v>
      </c>
      <c r="O137" s="205">
        <v>0</v>
      </c>
      <c r="P137" s="205">
        <v>0</v>
      </c>
      <c r="Q137" s="205">
        <v>0</v>
      </c>
      <c r="R137" s="206">
        <f t="shared" si="28"/>
        <v>-10.029019086579801</v>
      </c>
    </row>
    <row r="138" spans="1:18" x14ac:dyDescent="0.2">
      <c r="A138" s="162">
        <v>11</v>
      </c>
      <c r="B138" s="197">
        <f t="shared" si="35"/>
        <v>44501</v>
      </c>
      <c r="C138" s="221">
        <f t="shared" si="37"/>
        <v>44533</v>
      </c>
      <c r="D138" s="221">
        <f t="shared" si="37"/>
        <v>44557</v>
      </c>
      <c r="E138" s="54" t="s">
        <v>15</v>
      </c>
      <c r="F138" s="162">
        <v>9</v>
      </c>
      <c r="G138" s="200">
        <v>5</v>
      </c>
      <c r="H138" s="201">
        <f t="shared" si="25"/>
        <v>7.0559102035395256</v>
      </c>
      <c r="I138" s="201">
        <f t="shared" si="39"/>
        <v>5.1121348776600728</v>
      </c>
      <c r="J138" s="202">
        <f t="shared" si="36"/>
        <v>25.560674388300363</v>
      </c>
      <c r="K138" s="209">
        <f t="shared" si="41"/>
        <v>35.279551017697628</v>
      </c>
      <c r="L138" s="208">
        <f t="shared" si="40"/>
        <v>-9.7188766293972648</v>
      </c>
      <c r="M138" s="205">
        <f t="shared" si="26"/>
        <v>-0.31014245718253641</v>
      </c>
      <c r="N138" s="206">
        <f t="shared" si="27"/>
        <v>-10.029019086579801</v>
      </c>
      <c r="O138" s="205">
        <v>0</v>
      </c>
      <c r="P138" s="205">
        <v>0</v>
      </c>
      <c r="Q138" s="205">
        <v>0</v>
      </c>
      <c r="R138" s="206">
        <f t="shared" si="28"/>
        <v>-10.029019086579801</v>
      </c>
    </row>
    <row r="139" spans="1:18" s="225" customFormat="1" x14ac:dyDescent="0.2">
      <c r="A139" s="162">
        <v>12</v>
      </c>
      <c r="B139" s="223">
        <f t="shared" si="35"/>
        <v>44531</v>
      </c>
      <c r="C139" s="221">
        <f t="shared" si="37"/>
        <v>44566</v>
      </c>
      <c r="D139" s="221">
        <f t="shared" si="37"/>
        <v>44585</v>
      </c>
      <c r="E139" s="224" t="s">
        <v>15</v>
      </c>
      <c r="F139" s="173">
        <v>9</v>
      </c>
      <c r="G139" s="212">
        <v>6</v>
      </c>
      <c r="H139" s="213">
        <f t="shared" si="25"/>
        <v>7.0559102035395256</v>
      </c>
      <c r="I139" s="213">
        <f t="shared" si="39"/>
        <v>5.1121348776600728</v>
      </c>
      <c r="J139" s="214">
        <f t="shared" si="36"/>
        <v>30.672809265960439</v>
      </c>
      <c r="K139" s="215">
        <f t="shared" si="41"/>
        <v>42.335461221237153</v>
      </c>
      <c r="L139" s="216">
        <f t="shared" si="40"/>
        <v>-11.662651955276715</v>
      </c>
      <c r="M139" s="205">
        <f t="shared" si="26"/>
        <v>-0.37217094861904371</v>
      </c>
      <c r="N139" s="206">
        <f t="shared" si="27"/>
        <v>-12.034822903895758</v>
      </c>
      <c r="O139" s="205">
        <v>0</v>
      </c>
      <c r="P139" s="205">
        <v>0</v>
      </c>
      <c r="Q139" s="205">
        <v>0</v>
      </c>
      <c r="R139" s="206">
        <f t="shared" si="28"/>
        <v>-12.034822903895758</v>
      </c>
    </row>
    <row r="140" spans="1:18" x14ac:dyDescent="0.2">
      <c r="A140" s="124">
        <v>1</v>
      </c>
      <c r="B140" s="197">
        <f t="shared" si="35"/>
        <v>44197</v>
      </c>
      <c r="C140" s="218">
        <f t="shared" ref="C140:D151" si="42">+C128</f>
        <v>44230</v>
      </c>
      <c r="D140" s="218">
        <f t="shared" si="42"/>
        <v>44251</v>
      </c>
      <c r="E140" s="228" t="s">
        <v>16</v>
      </c>
      <c r="F140" s="162">
        <v>9</v>
      </c>
      <c r="G140" s="200">
        <v>3</v>
      </c>
      <c r="H140" s="201">
        <f t="shared" si="25"/>
        <v>7.0559102035395256</v>
      </c>
      <c r="I140" s="201">
        <f t="shared" si="39"/>
        <v>5.1121348776600728</v>
      </c>
      <c r="J140" s="202">
        <f t="shared" si="36"/>
        <v>15.336404632980219</v>
      </c>
      <c r="K140" s="203">
        <f t="shared" si="41"/>
        <v>21.167730610618577</v>
      </c>
      <c r="L140" s="204">
        <f t="shared" si="40"/>
        <v>-5.8313259776383575</v>
      </c>
      <c r="M140" s="205">
        <f t="shared" si="26"/>
        <v>-0.18608547430952185</v>
      </c>
      <c r="N140" s="206">
        <f t="shared" si="27"/>
        <v>-6.0174114519478792</v>
      </c>
      <c r="O140" s="205">
        <v>0</v>
      </c>
      <c r="P140" s="205">
        <v>0</v>
      </c>
      <c r="Q140" s="205">
        <v>0</v>
      </c>
      <c r="R140" s="206">
        <f t="shared" si="28"/>
        <v>-6.0174114519478792</v>
      </c>
    </row>
    <row r="141" spans="1:18" x14ac:dyDescent="0.2">
      <c r="A141" s="162">
        <v>2</v>
      </c>
      <c r="B141" s="197">
        <f t="shared" si="35"/>
        <v>44228</v>
      </c>
      <c r="C141" s="221">
        <f t="shared" si="42"/>
        <v>44258</v>
      </c>
      <c r="D141" s="221">
        <f t="shared" si="42"/>
        <v>44279</v>
      </c>
      <c r="E141" s="54" t="s">
        <v>16</v>
      </c>
      <c r="F141" s="162">
        <v>9</v>
      </c>
      <c r="G141" s="200">
        <v>5</v>
      </c>
      <c r="H141" s="201">
        <f t="shared" si="25"/>
        <v>7.0559102035395256</v>
      </c>
      <c r="I141" s="201">
        <f t="shared" si="39"/>
        <v>5.1121348776600728</v>
      </c>
      <c r="J141" s="202">
        <f t="shared" si="36"/>
        <v>25.560674388300363</v>
      </c>
      <c r="K141" s="203">
        <f t="shared" si="41"/>
        <v>35.279551017697628</v>
      </c>
      <c r="L141" s="204">
        <f t="shared" si="40"/>
        <v>-9.7188766293972648</v>
      </c>
      <c r="M141" s="205">
        <f t="shared" si="26"/>
        <v>-0.31014245718253641</v>
      </c>
      <c r="N141" s="206">
        <f t="shared" si="27"/>
        <v>-10.029019086579801</v>
      </c>
      <c r="O141" s="205">
        <v>0</v>
      </c>
      <c r="P141" s="205">
        <v>0</v>
      </c>
      <c r="Q141" s="205">
        <v>0</v>
      </c>
      <c r="R141" s="206">
        <f t="shared" si="28"/>
        <v>-10.029019086579801</v>
      </c>
    </row>
    <row r="142" spans="1:18" x14ac:dyDescent="0.2">
      <c r="A142" s="162">
        <v>3</v>
      </c>
      <c r="B142" s="197">
        <f t="shared" si="35"/>
        <v>44256</v>
      </c>
      <c r="C142" s="221">
        <f t="shared" si="42"/>
        <v>44291</v>
      </c>
      <c r="D142" s="221">
        <f t="shared" si="42"/>
        <v>44312</v>
      </c>
      <c r="E142" s="54" t="s">
        <v>16</v>
      </c>
      <c r="F142" s="162">
        <v>9</v>
      </c>
      <c r="G142" s="200">
        <v>4</v>
      </c>
      <c r="H142" s="201">
        <f t="shared" si="25"/>
        <v>7.0559102035395256</v>
      </c>
      <c r="I142" s="201">
        <f t="shared" si="39"/>
        <v>5.1121348776600728</v>
      </c>
      <c r="J142" s="202">
        <f t="shared" si="36"/>
        <v>20.448539510640291</v>
      </c>
      <c r="K142" s="203">
        <f t="shared" si="41"/>
        <v>28.223640814158102</v>
      </c>
      <c r="L142" s="204">
        <f>+J142-K142</f>
        <v>-7.7751013035178111</v>
      </c>
      <c r="M142" s="205">
        <f t="shared" si="26"/>
        <v>-0.24811396574602912</v>
      </c>
      <c r="N142" s="206">
        <f t="shared" si="27"/>
        <v>-8.0232152692638401</v>
      </c>
      <c r="O142" s="205">
        <v>0</v>
      </c>
      <c r="P142" s="205">
        <v>0</v>
      </c>
      <c r="Q142" s="205">
        <v>0</v>
      </c>
      <c r="R142" s="206">
        <f t="shared" si="28"/>
        <v>-8.0232152692638401</v>
      </c>
    </row>
    <row r="143" spans="1:18" x14ac:dyDescent="0.2">
      <c r="A143" s="124">
        <v>4</v>
      </c>
      <c r="B143" s="197">
        <f t="shared" si="35"/>
        <v>44287</v>
      </c>
      <c r="C143" s="221">
        <f t="shared" si="42"/>
        <v>44321</v>
      </c>
      <c r="D143" s="221">
        <f t="shared" si="42"/>
        <v>44340</v>
      </c>
      <c r="E143" s="54" t="s">
        <v>16</v>
      </c>
      <c r="F143" s="162">
        <v>9</v>
      </c>
      <c r="G143" s="200">
        <v>4</v>
      </c>
      <c r="H143" s="201">
        <f t="shared" si="25"/>
        <v>7.0559102035395256</v>
      </c>
      <c r="I143" s="201">
        <f t="shared" si="39"/>
        <v>5.1121348776600728</v>
      </c>
      <c r="J143" s="202">
        <f t="shared" si="36"/>
        <v>20.448539510640291</v>
      </c>
      <c r="K143" s="203">
        <f t="shared" si="41"/>
        <v>28.223640814158102</v>
      </c>
      <c r="L143" s="204">
        <f t="shared" ref="L143:L153" si="43">+J143-K143</f>
        <v>-7.7751013035178111</v>
      </c>
      <c r="M143" s="205">
        <f t="shared" si="26"/>
        <v>-0.24811396574602912</v>
      </c>
      <c r="N143" s="206">
        <f t="shared" si="27"/>
        <v>-8.0232152692638401</v>
      </c>
      <c r="O143" s="205">
        <v>0</v>
      </c>
      <c r="P143" s="205">
        <v>0</v>
      </c>
      <c r="Q143" s="205">
        <v>0</v>
      </c>
      <c r="R143" s="206">
        <f t="shared" si="28"/>
        <v>-8.0232152692638401</v>
      </c>
    </row>
    <row r="144" spans="1:18" x14ac:dyDescent="0.2">
      <c r="A144" s="162">
        <v>5</v>
      </c>
      <c r="B144" s="197">
        <f t="shared" si="35"/>
        <v>44317</v>
      </c>
      <c r="C144" s="221">
        <f t="shared" si="42"/>
        <v>44350</v>
      </c>
      <c r="D144" s="221">
        <f t="shared" si="42"/>
        <v>44371</v>
      </c>
      <c r="E144" s="54" t="s">
        <v>16</v>
      </c>
      <c r="F144" s="162">
        <v>9</v>
      </c>
      <c r="G144" s="200">
        <v>3</v>
      </c>
      <c r="H144" s="201">
        <f t="shared" si="25"/>
        <v>7.0559102035395256</v>
      </c>
      <c r="I144" s="201">
        <f t="shared" si="39"/>
        <v>5.1121348776600728</v>
      </c>
      <c r="J144" s="202">
        <f t="shared" si="36"/>
        <v>15.336404632980219</v>
      </c>
      <c r="K144" s="203">
        <f t="shared" si="41"/>
        <v>21.167730610618577</v>
      </c>
      <c r="L144" s="204">
        <f t="shared" si="43"/>
        <v>-5.8313259776383575</v>
      </c>
      <c r="M144" s="205">
        <f t="shared" si="26"/>
        <v>-0.18608547430952185</v>
      </c>
      <c r="N144" s="206">
        <f t="shared" si="27"/>
        <v>-6.0174114519478792</v>
      </c>
      <c r="O144" s="205">
        <v>0</v>
      </c>
      <c r="P144" s="205">
        <v>0</v>
      </c>
      <c r="Q144" s="205">
        <v>0</v>
      </c>
      <c r="R144" s="206">
        <f t="shared" si="28"/>
        <v>-6.0174114519478792</v>
      </c>
    </row>
    <row r="145" spans="1:19" x14ac:dyDescent="0.2">
      <c r="A145" s="162">
        <v>6</v>
      </c>
      <c r="B145" s="197">
        <f t="shared" si="35"/>
        <v>44348</v>
      </c>
      <c r="C145" s="221">
        <f t="shared" si="42"/>
        <v>44383</v>
      </c>
      <c r="D145" s="221">
        <f t="shared" si="42"/>
        <v>44401</v>
      </c>
      <c r="E145" s="54" t="s">
        <v>16</v>
      </c>
      <c r="F145" s="162">
        <v>9</v>
      </c>
      <c r="G145" s="200">
        <v>5</v>
      </c>
      <c r="H145" s="201">
        <f t="shared" si="25"/>
        <v>7.0559102035395256</v>
      </c>
      <c r="I145" s="201">
        <f t="shared" si="39"/>
        <v>5.1121348776600728</v>
      </c>
      <c r="J145" s="202">
        <f t="shared" si="36"/>
        <v>25.560674388300363</v>
      </c>
      <c r="K145" s="203">
        <f t="shared" si="41"/>
        <v>35.279551017697628</v>
      </c>
      <c r="L145" s="208">
        <f t="shared" si="43"/>
        <v>-9.7188766293972648</v>
      </c>
      <c r="M145" s="205">
        <f t="shared" si="26"/>
        <v>-0.31014245718253641</v>
      </c>
      <c r="N145" s="206">
        <f t="shared" si="27"/>
        <v>-10.029019086579801</v>
      </c>
      <c r="O145" s="205">
        <v>0</v>
      </c>
      <c r="P145" s="205">
        <v>0</v>
      </c>
      <c r="Q145" s="205">
        <v>0</v>
      </c>
      <c r="R145" s="206">
        <f t="shared" si="28"/>
        <v>-10.029019086579801</v>
      </c>
    </row>
    <row r="146" spans="1:19" x14ac:dyDescent="0.2">
      <c r="A146" s="124">
        <v>7</v>
      </c>
      <c r="B146" s="197">
        <f t="shared" si="35"/>
        <v>44378</v>
      </c>
      <c r="C146" s="221">
        <f t="shared" si="42"/>
        <v>44412</v>
      </c>
      <c r="D146" s="221">
        <f t="shared" si="42"/>
        <v>44432</v>
      </c>
      <c r="E146" s="54" t="s">
        <v>16</v>
      </c>
      <c r="F146" s="162">
        <v>9</v>
      </c>
      <c r="G146" s="200">
        <v>5</v>
      </c>
      <c r="H146" s="201">
        <f t="shared" si="25"/>
        <v>7.0559102035395256</v>
      </c>
      <c r="I146" s="201">
        <f t="shared" si="39"/>
        <v>5.1121348776600728</v>
      </c>
      <c r="J146" s="202">
        <f t="shared" si="36"/>
        <v>25.560674388300363</v>
      </c>
      <c r="K146" s="209">
        <f t="shared" si="41"/>
        <v>35.279551017697628</v>
      </c>
      <c r="L146" s="208">
        <f t="shared" si="43"/>
        <v>-9.7188766293972648</v>
      </c>
      <c r="M146" s="205">
        <f t="shared" si="26"/>
        <v>-0.31014245718253641</v>
      </c>
      <c r="N146" s="206">
        <f t="shared" si="27"/>
        <v>-10.029019086579801</v>
      </c>
      <c r="O146" s="205">
        <v>0</v>
      </c>
      <c r="P146" s="205">
        <v>0</v>
      </c>
      <c r="Q146" s="205">
        <v>0</v>
      </c>
      <c r="R146" s="206">
        <f t="shared" si="28"/>
        <v>-10.029019086579801</v>
      </c>
    </row>
    <row r="147" spans="1:19" x14ac:dyDescent="0.2">
      <c r="A147" s="162">
        <v>8</v>
      </c>
      <c r="B147" s="197">
        <f t="shared" si="35"/>
        <v>44409</v>
      </c>
      <c r="C147" s="221">
        <f t="shared" si="42"/>
        <v>44442</v>
      </c>
      <c r="D147" s="221">
        <f t="shared" si="42"/>
        <v>44463</v>
      </c>
      <c r="E147" s="54" t="s">
        <v>16</v>
      </c>
      <c r="F147" s="162">
        <v>9</v>
      </c>
      <c r="G147" s="200">
        <v>4</v>
      </c>
      <c r="H147" s="201">
        <f t="shared" si="25"/>
        <v>7.0559102035395256</v>
      </c>
      <c r="I147" s="201">
        <f t="shared" si="39"/>
        <v>5.1121348776600728</v>
      </c>
      <c r="J147" s="202">
        <f t="shared" si="36"/>
        <v>20.448539510640291</v>
      </c>
      <c r="K147" s="209">
        <f t="shared" si="41"/>
        <v>28.223640814158102</v>
      </c>
      <c r="L147" s="208">
        <f t="shared" si="43"/>
        <v>-7.7751013035178111</v>
      </c>
      <c r="M147" s="205">
        <f t="shared" si="26"/>
        <v>-0.24811396574602912</v>
      </c>
      <c r="N147" s="206">
        <f t="shared" si="27"/>
        <v>-8.0232152692638401</v>
      </c>
      <c r="O147" s="205">
        <v>0</v>
      </c>
      <c r="P147" s="205">
        <v>0</v>
      </c>
      <c r="Q147" s="205">
        <v>0</v>
      </c>
      <c r="R147" s="206">
        <f t="shared" si="28"/>
        <v>-8.0232152692638401</v>
      </c>
    </row>
    <row r="148" spans="1:19" x14ac:dyDescent="0.2">
      <c r="A148" s="162">
        <v>9</v>
      </c>
      <c r="B148" s="197">
        <f t="shared" si="35"/>
        <v>44440</v>
      </c>
      <c r="C148" s="221">
        <f t="shared" si="42"/>
        <v>44474</v>
      </c>
      <c r="D148" s="221">
        <f t="shared" si="42"/>
        <v>44494</v>
      </c>
      <c r="E148" s="54" t="s">
        <v>16</v>
      </c>
      <c r="F148" s="162">
        <v>9</v>
      </c>
      <c r="G148" s="200">
        <v>4</v>
      </c>
      <c r="H148" s="201">
        <f t="shared" si="25"/>
        <v>7.0559102035395256</v>
      </c>
      <c r="I148" s="201">
        <f t="shared" ref="I148:I179" si="44">$J$3</f>
        <v>5.1121348776600728</v>
      </c>
      <c r="J148" s="202">
        <f t="shared" si="36"/>
        <v>20.448539510640291</v>
      </c>
      <c r="K148" s="209">
        <f t="shared" si="41"/>
        <v>28.223640814158102</v>
      </c>
      <c r="L148" s="208">
        <f t="shared" si="43"/>
        <v>-7.7751013035178111</v>
      </c>
      <c r="M148" s="205">
        <f t="shared" si="26"/>
        <v>-0.24811396574602912</v>
      </c>
      <c r="N148" s="206">
        <f t="shared" si="27"/>
        <v>-8.0232152692638401</v>
      </c>
      <c r="O148" s="205">
        <v>0</v>
      </c>
      <c r="P148" s="205">
        <v>0</v>
      </c>
      <c r="Q148" s="205">
        <v>0</v>
      </c>
      <c r="R148" s="206">
        <f t="shared" si="28"/>
        <v>-8.0232152692638401</v>
      </c>
    </row>
    <row r="149" spans="1:19" x14ac:dyDescent="0.2">
      <c r="A149" s="124">
        <v>10</v>
      </c>
      <c r="B149" s="197">
        <f t="shared" ref="B149:B211" si="45">DATE($R$1,A149,1)</f>
        <v>44470</v>
      </c>
      <c r="C149" s="221">
        <f t="shared" si="42"/>
        <v>44503</v>
      </c>
      <c r="D149" s="221">
        <f t="shared" si="42"/>
        <v>44524</v>
      </c>
      <c r="E149" s="54" t="s">
        <v>16</v>
      </c>
      <c r="F149" s="162">
        <v>9</v>
      </c>
      <c r="G149" s="200">
        <v>4</v>
      </c>
      <c r="H149" s="201">
        <f t="shared" ref="H149:H211" si="46">+$K$3</f>
        <v>7.0559102035395256</v>
      </c>
      <c r="I149" s="201">
        <f t="shared" si="44"/>
        <v>5.1121348776600728</v>
      </c>
      <c r="J149" s="202">
        <f t="shared" ref="J149:J211" si="47">+$G149*I149</f>
        <v>20.448539510640291</v>
      </c>
      <c r="K149" s="209">
        <f t="shared" si="41"/>
        <v>28.223640814158102</v>
      </c>
      <c r="L149" s="208">
        <f t="shared" si="43"/>
        <v>-7.7751013035178111</v>
      </c>
      <c r="M149" s="205">
        <f t="shared" ref="M149:M211" si="48">G149/$G$212*$M$14</f>
        <v>-0.24811396574602912</v>
      </c>
      <c r="N149" s="206">
        <f t="shared" ref="N149:N211" si="49">SUM(L149:M149)</f>
        <v>-8.0232152692638401</v>
      </c>
      <c r="O149" s="205">
        <v>0</v>
      </c>
      <c r="P149" s="205">
        <v>0</v>
      </c>
      <c r="Q149" s="205">
        <v>0</v>
      </c>
      <c r="R149" s="206">
        <f t="shared" ref="R149:R211" si="50">+N149-Q149</f>
        <v>-8.0232152692638401</v>
      </c>
    </row>
    <row r="150" spans="1:19" x14ac:dyDescent="0.2">
      <c r="A150" s="162">
        <v>11</v>
      </c>
      <c r="B150" s="197">
        <f t="shared" si="45"/>
        <v>44501</v>
      </c>
      <c r="C150" s="221">
        <f t="shared" si="42"/>
        <v>44533</v>
      </c>
      <c r="D150" s="221">
        <f t="shared" si="42"/>
        <v>44557</v>
      </c>
      <c r="E150" s="54" t="s">
        <v>16</v>
      </c>
      <c r="F150" s="162">
        <v>9</v>
      </c>
      <c r="G150" s="200">
        <v>4</v>
      </c>
      <c r="H150" s="201">
        <f t="shared" si="46"/>
        <v>7.0559102035395256</v>
      </c>
      <c r="I150" s="201">
        <f t="shared" si="44"/>
        <v>5.1121348776600728</v>
      </c>
      <c r="J150" s="202">
        <f t="shared" si="47"/>
        <v>20.448539510640291</v>
      </c>
      <c r="K150" s="209">
        <f t="shared" si="41"/>
        <v>28.223640814158102</v>
      </c>
      <c r="L150" s="208">
        <f t="shared" si="43"/>
        <v>-7.7751013035178111</v>
      </c>
      <c r="M150" s="205">
        <f t="shared" si="48"/>
        <v>-0.24811396574602912</v>
      </c>
      <c r="N150" s="206">
        <f t="shared" si="49"/>
        <v>-8.0232152692638401</v>
      </c>
      <c r="O150" s="205">
        <v>0</v>
      </c>
      <c r="P150" s="205">
        <v>0</v>
      </c>
      <c r="Q150" s="205">
        <v>0</v>
      </c>
      <c r="R150" s="206">
        <f t="shared" si="50"/>
        <v>-8.0232152692638401</v>
      </c>
    </row>
    <row r="151" spans="1:19" s="225" customFormat="1" x14ac:dyDescent="0.2">
      <c r="A151" s="162">
        <v>12</v>
      </c>
      <c r="B151" s="223">
        <f t="shared" si="45"/>
        <v>44531</v>
      </c>
      <c r="C151" s="221">
        <f t="shared" si="42"/>
        <v>44566</v>
      </c>
      <c r="D151" s="221">
        <f t="shared" si="42"/>
        <v>44585</v>
      </c>
      <c r="E151" s="224" t="s">
        <v>16</v>
      </c>
      <c r="F151" s="173">
        <v>9</v>
      </c>
      <c r="G151" s="212">
        <v>1</v>
      </c>
      <c r="H151" s="213">
        <f t="shared" si="46"/>
        <v>7.0559102035395256</v>
      </c>
      <c r="I151" s="213">
        <f t="shared" si="44"/>
        <v>5.1121348776600728</v>
      </c>
      <c r="J151" s="214">
        <f t="shared" si="47"/>
        <v>5.1121348776600728</v>
      </c>
      <c r="K151" s="215">
        <f t="shared" si="41"/>
        <v>7.0559102035395256</v>
      </c>
      <c r="L151" s="216">
        <f t="shared" si="43"/>
        <v>-1.9437753258794528</v>
      </c>
      <c r="M151" s="205">
        <f t="shared" si="48"/>
        <v>-6.202849143650728E-2</v>
      </c>
      <c r="N151" s="206">
        <f t="shared" si="49"/>
        <v>-2.00580381731596</v>
      </c>
      <c r="O151" s="205">
        <v>0</v>
      </c>
      <c r="P151" s="205">
        <v>0</v>
      </c>
      <c r="Q151" s="205">
        <v>0</v>
      </c>
      <c r="R151" s="206">
        <f t="shared" si="50"/>
        <v>-2.00580381731596</v>
      </c>
    </row>
    <row r="152" spans="1:19" x14ac:dyDescent="0.2">
      <c r="A152" s="124">
        <v>1</v>
      </c>
      <c r="B152" s="197">
        <f t="shared" si="45"/>
        <v>44197</v>
      </c>
      <c r="C152" s="218">
        <f t="shared" ref="C152:D171" si="51">+C140</f>
        <v>44230</v>
      </c>
      <c r="D152" s="218">
        <f t="shared" si="51"/>
        <v>44251</v>
      </c>
      <c r="E152" s="228" t="s">
        <v>53</v>
      </c>
      <c r="F152" s="124">
        <v>9</v>
      </c>
      <c r="G152" s="200">
        <v>104</v>
      </c>
      <c r="H152" s="201">
        <f t="shared" si="46"/>
        <v>7.0559102035395256</v>
      </c>
      <c r="I152" s="201">
        <f t="shared" si="44"/>
        <v>5.1121348776600728</v>
      </c>
      <c r="J152" s="202">
        <f t="shared" si="47"/>
        <v>531.66202727664756</v>
      </c>
      <c r="K152" s="203">
        <f t="shared" si="41"/>
        <v>733.81466116811066</v>
      </c>
      <c r="L152" s="204">
        <f t="shared" si="43"/>
        <v>-202.1526338914631</v>
      </c>
      <c r="M152" s="205">
        <f t="shared" si="48"/>
        <v>-6.4509631093967581</v>
      </c>
      <c r="N152" s="206">
        <f t="shared" si="49"/>
        <v>-208.60359700085985</v>
      </c>
      <c r="O152" s="205">
        <v>0</v>
      </c>
      <c r="P152" s="205">
        <v>0</v>
      </c>
      <c r="Q152" s="205">
        <v>0</v>
      </c>
      <c r="R152" s="206">
        <f t="shared" si="50"/>
        <v>-208.60359700085985</v>
      </c>
    </row>
    <row r="153" spans="1:19" x14ac:dyDescent="0.2">
      <c r="A153" s="162">
        <v>2</v>
      </c>
      <c r="B153" s="197">
        <f t="shared" si="45"/>
        <v>44228</v>
      </c>
      <c r="C153" s="221">
        <f t="shared" si="51"/>
        <v>44258</v>
      </c>
      <c r="D153" s="221">
        <f t="shared" si="51"/>
        <v>44279</v>
      </c>
      <c r="E153" s="229" t="s">
        <v>53</v>
      </c>
      <c r="F153" s="162">
        <v>9</v>
      </c>
      <c r="G153" s="200">
        <v>133</v>
      </c>
      <c r="H153" s="201">
        <f t="shared" si="46"/>
        <v>7.0559102035395256</v>
      </c>
      <c r="I153" s="201">
        <f t="shared" si="44"/>
        <v>5.1121348776600728</v>
      </c>
      <c r="J153" s="202">
        <f t="shared" si="47"/>
        <v>679.91393872878973</v>
      </c>
      <c r="K153" s="203">
        <f t="shared" si="41"/>
        <v>938.43605707075687</v>
      </c>
      <c r="L153" s="204">
        <f t="shared" si="43"/>
        <v>-258.52211834196714</v>
      </c>
      <c r="M153" s="205">
        <f t="shared" si="48"/>
        <v>-8.249789361055468</v>
      </c>
      <c r="N153" s="206">
        <f t="shared" si="49"/>
        <v>-266.77190770302263</v>
      </c>
      <c r="O153" s="205">
        <v>0</v>
      </c>
      <c r="P153" s="205">
        <v>0</v>
      </c>
      <c r="Q153" s="205">
        <v>0</v>
      </c>
      <c r="R153" s="206">
        <f t="shared" si="50"/>
        <v>-266.77190770302263</v>
      </c>
    </row>
    <row r="154" spans="1:19" x14ac:dyDescent="0.2">
      <c r="A154" s="162">
        <v>3</v>
      </c>
      <c r="B154" s="197">
        <f t="shared" si="45"/>
        <v>44256</v>
      </c>
      <c r="C154" s="221">
        <f t="shared" si="51"/>
        <v>44291</v>
      </c>
      <c r="D154" s="221">
        <f t="shared" si="51"/>
        <v>44312</v>
      </c>
      <c r="E154" s="229" t="s">
        <v>53</v>
      </c>
      <c r="F154" s="162">
        <v>9</v>
      </c>
      <c r="G154" s="200">
        <v>87</v>
      </c>
      <c r="H154" s="201">
        <f t="shared" si="46"/>
        <v>7.0559102035395256</v>
      </c>
      <c r="I154" s="201">
        <f t="shared" si="44"/>
        <v>5.1121348776600728</v>
      </c>
      <c r="J154" s="202">
        <f t="shared" si="47"/>
        <v>444.75573435642633</v>
      </c>
      <c r="K154" s="203">
        <f t="shared" si="41"/>
        <v>613.86418770793875</v>
      </c>
      <c r="L154" s="204">
        <f>+J154-K154</f>
        <v>-169.10845335151242</v>
      </c>
      <c r="M154" s="205">
        <f t="shared" si="48"/>
        <v>-5.3964787549761342</v>
      </c>
      <c r="N154" s="206">
        <f t="shared" si="49"/>
        <v>-174.50493210648855</v>
      </c>
      <c r="O154" s="205">
        <v>0</v>
      </c>
      <c r="P154" s="205">
        <v>0</v>
      </c>
      <c r="Q154" s="205">
        <v>0</v>
      </c>
      <c r="R154" s="206">
        <f t="shared" si="50"/>
        <v>-174.50493210648855</v>
      </c>
    </row>
    <row r="155" spans="1:19" x14ac:dyDescent="0.2">
      <c r="A155" s="124">
        <v>4</v>
      </c>
      <c r="B155" s="197">
        <f t="shared" si="45"/>
        <v>44287</v>
      </c>
      <c r="C155" s="221">
        <f t="shared" si="51"/>
        <v>44321</v>
      </c>
      <c r="D155" s="221">
        <f t="shared" si="51"/>
        <v>44340</v>
      </c>
      <c r="E155" s="229" t="s">
        <v>53</v>
      </c>
      <c r="F155" s="162">
        <v>9</v>
      </c>
      <c r="G155" s="200">
        <v>77</v>
      </c>
      <c r="H155" s="201">
        <f t="shared" si="46"/>
        <v>7.0559102035395256</v>
      </c>
      <c r="I155" s="201">
        <f t="shared" si="44"/>
        <v>5.1121348776600728</v>
      </c>
      <c r="J155" s="202">
        <f t="shared" si="47"/>
        <v>393.63438557982562</v>
      </c>
      <c r="K155" s="203">
        <f t="shared" si="41"/>
        <v>543.30508567254344</v>
      </c>
      <c r="L155" s="204">
        <f t="shared" ref="L155:L165" si="52">+J155-K155</f>
        <v>-149.67070009271782</v>
      </c>
      <c r="M155" s="205">
        <f t="shared" si="48"/>
        <v>-4.7761938406110609</v>
      </c>
      <c r="N155" s="206">
        <f t="shared" si="49"/>
        <v>-154.44689393332888</v>
      </c>
      <c r="O155" s="205">
        <v>0</v>
      </c>
      <c r="P155" s="205">
        <v>0</v>
      </c>
      <c r="Q155" s="205">
        <v>0</v>
      </c>
      <c r="R155" s="206">
        <f t="shared" si="50"/>
        <v>-154.44689393332888</v>
      </c>
    </row>
    <row r="156" spans="1:19" x14ac:dyDescent="0.2">
      <c r="A156" s="162">
        <v>5</v>
      </c>
      <c r="B156" s="197">
        <f t="shared" si="45"/>
        <v>44317</v>
      </c>
      <c r="C156" s="221">
        <f t="shared" si="51"/>
        <v>44350</v>
      </c>
      <c r="D156" s="221">
        <f t="shared" si="51"/>
        <v>44371</v>
      </c>
      <c r="E156" s="229" t="s">
        <v>53</v>
      </c>
      <c r="F156" s="162">
        <v>9</v>
      </c>
      <c r="G156" s="200">
        <v>104</v>
      </c>
      <c r="H156" s="201">
        <f t="shared" si="46"/>
        <v>7.0559102035395256</v>
      </c>
      <c r="I156" s="201">
        <f t="shared" si="44"/>
        <v>5.1121348776600728</v>
      </c>
      <c r="J156" s="202">
        <f t="shared" si="47"/>
        <v>531.66202727664756</v>
      </c>
      <c r="K156" s="203">
        <f t="shared" si="41"/>
        <v>733.81466116811066</v>
      </c>
      <c r="L156" s="204">
        <f t="shared" si="52"/>
        <v>-202.1526338914631</v>
      </c>
      <c r="M156" s="205">
        <f t="shared" si="48"/>
        <v>-6.4509631093967581</v>
      </c>
      <c r="N156" s="206">
        <f t="shared" si="49"/>
        <v>-208.60359700085985</v>
      </c>
      <c r="O156" s="205">
        <v>0</v>
      </c>
      <c r="P156" s="205">
        <v>0</v>
      </c>
      <c r="Q156" s="205">
        <v>0</v>
      </c>
      <c r="R156" s="206">
        <f t="shared" si="50"/>
        <v>-208.60359700085985</v>
      </c>
    </row>
    <row r="157" spans="1:19" x14ac:dyDescent="0.2">
      <c r="A157" s="162">
        <v>6</v>
      </c>
      <c r="B157" s="197">
        <f t="shared" si="45"/>
        <v>44348</v>
      </c>
      <c r="C157" s="221">
        <f t="shared" si="51"/>
        <v>44383</v>
      </c>
      <c r="D157" s="221">
        <f t="shared" si="51"/>
        <v>44401</v>
      </c>
      <c r="E157" s="229" t="s">
        <v>53</v>
      </c>
      <c r="F157" s="162">
        <v>9</v>
      </c>
      <c r="G157" s="200">
        <v>144</v>
      </c>
      <c r="H157" s="201">
        <f t="shared" si="46"/>
        <v>7.0559102035395256</v>
      </c>
      <c r="I157" s="201">
        <f t="shared" si="44"/>
        <v>5.1121348776600728</v>
      </c>
      <c r="J157" s="202">
        <f t="shared" si="47"/>
        <v>736.14742238305053</v>
      </c>
      <c r="K157" s="203">
        <f t="shared" si="41"/>
        <v>1016.0510693096917</v>
      </c>
      <c r="L157" s="208">
        <f t="shared" si="52"/>
        <v>-279.90364692664116</v>
      </c>
      <c r="M157" s="205">
        <f t="shared" si="48"/>
        <v>-8.9321027668570494</v>
      </c>
      <c r="N157" s="206">
        <f t="shared" si="49"/>
        <v>-288.8357496934982</v>
      </c>
      <c r="O157" s="205">
        <v>0</v>
      </c>
      <c r="P157" s="205">
        <v>0</v>
      </c>
      <c r="Q157" s="205">
        <v>0</v>
      </c>
      <c r="R157" s="206">
        <f t="shared" si="50"/>
        <v>-288.8357496934982</v>
      </c>
    </row>
    <row r="158" spans="1:19" x14ac:dyDescent="0.2">
      <c r="A158" s="124">
        <v>7</v>
      </c>
      <c r="B158" s="197">
        <f t="shared" si="45"/>
        <v>44378</v>
      </c>
      <c r="C158" s="221">
        <f t="shared" si="51"/>
        <v>44412</v>
      </c>
      <c r="D158" s="221">
        <f t="shared" si="51"/>
        <v>44432</v>
      </c>
      <c r="E158" s="229" t="s">
        <v>53</v>
      </c>
      <c r="F158" s="162">
        <v>9</v>
      </c>
      <c r="G158" s="200">
        <v>161</v>
      </c>
      <c r="H158" s="201">
        <f t="shared" si="46"/>
        <v>7.0559102035395256</v>
      </c>
      <c r="I158" s="201">
        <f t="shared" si="44"/>
        <v>5.1121348776600728</v>
      </c>
      <c r="J158" s="202">
        <f t="shared" si="47"/>
        <v>823.0537153032717</v>
      </c>
      <c r="K158" s="209">
        <f t="shared" si="41"/>
        <v>1136.0015427698636</v>
      </c>
      <c r="L158" s="208">
        <f t="shared" si="52"/>
        <v>-312.94782746659189</v>
      </c>
      <c r="M158" s="205">
        <f t="shared" si="48"/>
        <v>-9.9865871212776725</v>
      </c>
      <c r="N158" s="206">
        <f t="shared" si="49"/>
        <v>-322.93441458786958</v>
      </c>
      <c r="O158" s="205">
        <v>0</v>
      </c>
      <c r="P158" s="205">
        <v>0</v>
      </c>
      <c r="Q158" s="205">
        <v>0</v>
      </c>
      <c r="R158" s="206">
        <f t="shared" si="50"/>
        <v>-322.93441458786958</v>
      </c>
    </row>
    <row r="159" spans="1:19" x14ac:dyDescent="0.2">
      <c r="A159" s="162">
        <v>8</v>
      </c>
      <c r="B159" s="197">
        <f t="shared" si="45"/>
        <v>44409</v>
      </c>
      <c r="C159" s="221">
        <f t="shared" si="51"/>
        <v>44442</v>
      </c>
      <c r="D159" s="221">
        <f t="shared" si="51"/>
        <v>44463</v>
      </c>
      <c r="E159" s="229" t="s">
        <v>53</v>
      </c>
      <c r="F159" s="124">
        <v>9</v>
      </c>
      <c r="G159" s="200">
        <v>163</v>
      </c>
      <c r="H159" s="201">
        <f t="shared" si="46"/>
        <v>7.0559102035395256</v>
      </c>
      <c r="I159" s="201">
        <f t="shared" si="44"/>
        <v>5.1121348776600728</v>
      </c>
      <c r="J159" s="202">
        <f t="shared" si="47"/>
        <v>833.27798505859187</v>
      </c>
      <c r="K159" s="209">
        <f t="shared" si="41"/>
        <v>1150.1133631769426</v>
      </c>
      <c r="L159" s="208">
        <f t="shared" si="52"/>
        <v>-316.83537811835072</v>
      </c>
      <c r="M159" s="205">
        <f t="shared" si="48"/>
        <v>-10.110644104150687</v>
      </c>
      <c r="N159" s="206">
        <f t="shared" si="49"/>
        <v>-326.94602222250143</v>
      </c>
      <c r="O159" s="205">
        <v>0</v>
      </c>
      <c r="P159" s="205">
        <v>0</v>
      </c>
      <c r="Q159" s="205">
        <v>0</v>
      </c>
      <c r="R159" s="206">
        <f t="shared" si="50"/>
        <v>-326.94602222250143</v>
      </c>
      <c r="S159" s="52"/>
    </row>
    <row r="160" spans="1:19" x14ac:dyDescent="0.2">
      <c r="A160" s="162">
        <v>9</v>
      </c>
      <c r="B160" s="197">
        <f t="shared" si="45"/>
        <v>44440</v>
      </c>
      <c r="C160" s="221">
        <f t="shared" si="51"/>
        <v>44474</v>
      </c>
      <c r="D160" s="221">
        <f t="shared" si="51"/>
        <v>44494</v>
      </c>
      <c r="E160" s="229" t="s">
        <v>53</v>
      </c>
      <c r="F160" s="124">
        <v>9</v>
      </c>
      <c r="G160" s="200">
        <v>153</v>
      </c>
      <c r="H160" s="201">
        <f t="shared" si="46"/>
        <v>7.0559102035395256</v>
      </c>
      <c r="I160" s="201">
        <f t="shared" si="44"/>
        <v>5.1121348776600728</v>
      </c>
      <c r="J160" s="202">
        <f t="shared" si="47"/>
        <v>782.15663628199115</v>
      </c>
      <c r="K160" s="209">
        <f t="shared" si="41"/>
        <v>1079.5542611415474</v>
      </c>
      <c r="L160" s="208">
        <f t="shared" si="52"/>
        <v>-297.39762485955623</v>
      </c>
      <c r="M160" s="205">
        <f t="shared" si="48"/>
        <v>-9.4903591897856145</v>
      </c>
      <c r="N160" s="206">
        <f t="shared" si="49"/>
        <v>-306.88798404934187</v>
      </c>
      <c r="O160" s="205">
        <v>0</v>
      </c>
      <c r="P160" s="205">
        <v>0</v>
      </c>
      <c r="Q160" s="205">
        <v>0</v>
      </c>
      <c r="R160" s="206">
        <f t="shared" si="50"/>
        <v>-306.88798404934187</v>
      </c>
    </row>
    <row r="161" spans="1:19" x14ac:dyDescent="0.2">
      <c r="A161" s="124">
        <v>10</v>
      </c>
      <c r="B161" s="197">
        <f t="shared" si="45"/>
        <v>44470</v>
      </c>
      <c r="C161" s="221">
        <f t="shared" si="51"/>
        <v>44503</v>
      </c>
      <c r="D161" s="221">
        <f t="shared" si="51"/>
        <v>44524</v>
      </c>
      <c r="E161" s="229" t="s">
        <v>53</v>
      </c>
      <c r="F161" s="124">
        <v>9</v>
      </c>
      <c r="G161" s="200">
        <v>117</v>
      </c>
      <c r="H161" s="201">
        <f t="shared" si="46"/>
        <v>7.0559102035395256</v>
      </c>
      <c r="I161" s="201">
        <f t="shared" si="44"/>
        <v>5.1121348776600728</v>
      </c>
      <c r="J161" s="202">
        <f t="shared" si="47"/>
        <v>598.11978068622852</v>
      </c>
      <c r="K161" s="209">
        <f t="shared" si="41"/>
        <v>825.54149381412446</v>
      </c>
      <c r="L161" s="208">
        <f t="shared" si="52"/>
        <v>-227.42171312789594</v>
      </c>
      <c r="M161" s="205">
        <f t="shared" si="48"/>
        <v>-7.2573334980713522</v>
      </c>
      <c r="N161" s="206">
        <f t="shared" si="49"/>
        <v>-234.67904662596729</v>
      </c>
      <c r="O161" s="205">
        <v>0</v>
      </c>
      <c r="P161" s="205">
        <v>0</v>
      </c>
      <c r="Q161" s="205">
        <v>0</v>
      </c>
      <c r="R161" s="206">
        <f t="shared" si="50"/>
        <v>-234.67904662596729</v>
      </c>
    </row>
    <row r="162" spans="1:19" x14ac:dyDescent="0.2">
      <c r="A162" s="162">
        <v>11</v>
      </c>
      <c r="B162" s="197">
        <f t="shared" si="45"/>
        <v>44501</v>
      </c>
      <c r="C162" s="221">
        <f t="shared" si="51"/>
        <v>44533</v>
      </c>
      <c r="D162" s="221">
        <f t="shared" si="51"/>
        <v>44557</v>
      </c>
      <c r="E162" s="229" t="s">
        <v>53</v>
      </c>
      <c r="F162" s="124">
        <v>9</v>
      </c>
      <c r="G162" s="200">
        <v>91</v>
      </c>
      <c r="H162" s="201">
        <f t="shared" si="46"/>
        <v>7.0559102035395256</v>
      </c>
      <c r="I162" s="201">
        <f t="shared" si="44"/>
        <v>5.1121348776600728</v>
      </c>
      <c r="J162" s="202">
        <f t="shared" si="47"/>
        <v>465.2042738670666</v>
      </c>
      <c r="K162" s="209">
        <f t="shared" si="41"/>
        <v>642.08782852209686</v>
      </c>
      <c r="L162" s="208">
        <f t="shared" si="52"/>
        <v>-176.88355465503025</v>
      </c>
      <c r="M162" s="205">
        <f t="shared" si="48"/>
        <v>-5.6445927207221631</v>
      </c>
      <c r="N162" s="206">
        <f t="shared" si="49"/>
        <v>-182.52814737575241</v>
      </c>
      <c r="O162" s="205">
        <v>0</v>
      </c>
      <c r="P162" s="205">
        <v>0</v>
      </c>
      <c r="Q162" s="205">
        <v>0</v>
      </c>
      <c r="R162" s="206">
        <f t="shared" si="50"/>
        <v>-182.52814737575241</v>
      </c>
    </row>
    <row r="163" spans="1:19" s="225" customFormat="1" x14ac:dyDescent="0.2">
      <c r="A163" s="162">
        <v>12</v>
      </c>
      <c r="B163" s="223">
        <f t="shared" si="45"/>
        <v>44531</v>
      </c>
      <c r="C163" s="221">
        <f t="shared" si="51"/>
        <v>44566</v>
      </c>
      <c r="D163" s="221">
        <f t="shared" si="51"/>
        <v>44585</v>
      </c>
      <c r="E163" s="230" t="s">
        <v>53</v>
      </c>
      <c r="F163" s="173">
        <v>9</v>
      </c>
      <c r="G163" s="212">
        <v>94</v>
      </c>
      <c r="H163" s="213">
        <f t="shared" si="46"/>
        <v>7.0559102035395256</v>
      </c>
      <c r="I163" s="213">
        <f t="shared" si="44"/>
        <v>5.1121348776600728</v>
      </c>
      <c r="J163" s="214">
        <f t="shared" si="47"/>
        <v>480.54067850004685</v>
      </c>
      <c r="K163" s="215">
        <f t="shared" si="41"/>
        <v>663.25555913271546</v>
      </c>
      <c r="L163" s="216">
        <f t="shared" si="52"/>
        <v>-182.71488063266861</v>
      </c>
      <c r="M163" s="205">
        <f t="shared" si="48"/>
        <v>-5.8306781950316848</v>
      </c>
      <c r="N163" s="206">
        <f t="shared" si="49"/>
        <v>-188.54555882770029</v>
      </c>
      <c r="O163" s="205">
        <v>0</v>
      </c>
      <c r="P163" s="205">
        <v>0</v>
      </c>
      <c r="Q163" s="205">
        <v>0</v>
      </c>
      <c r="R163" s="206">
        <f t="shared" si="50"/>
        <v>-188.54555882770029</v>
      </c>
    </row>
    <row r="164" spans="1:19" x14ac:dyDescent="0.2">
      <c r="A164" s="124">
        <v>1</v>
      </c>
      <c r="B164" s="197">
        <f t="shared" si="45"/>
        <v>44197</v>
      </c>
      <c r="C164" s="218">
        <f t="shared" si="51"/>
        <v>44230</v>
      </c>
      <c r="D164" s="218">
        <f t="shared" si="51"/>
        <v>44251</v>
      </c>
      <c r="E164" s="228" t="s">
        <v>54</v>
      </c>
      <c r="F164" s="124">
        <v>9</v>
      </c>
      <c r="G164" s="200">
        <v>11</v>
      </c>
      <c r="H164" s="201">
        <f t="shared" si="46"/>
        <v>7.0559102035395256</v>
      </c>
      <c r="I164" s="201">
        <f t="shared" si="44"/>
        <v>5.1121348776600728</v>
      </c>
      <c r="J164" s="202">
        <f t="shared" si="47"/>
        <v>56.233483654260802</v>
      </c>
      <c r="K164" s="203">
        <f t="shared" si="41"/>
        <v>77.615012238934781</v>
      </c>
      <c r="L164" s="204">
        <f t="shared" si="52"/>
        <v>-21.38152858467398</v>
      </c>
      <c r="M164" s="205">
        <f t="shared" si="48"/>
        <v>-0.68231340580158018</v>
      </c>
      <c r="N164" s="206">
        <f t="shared" si="49"/>
        <v>-22.063841990475559</v>
      </c>
      <c r="O164" s="205">
        <v>0</v>
      </c>
      <c r="P164" s="205">
        <v>0</v>
      </c>
      <c r="Q164" s="205">
        <v>0</v>
      </c>
      <c r="R164" s="206">
        <f t="shared" si="50"/>
        <v>-22.063841990475559</v>
      </c>
    </row>
    <row r="165" spans="1:19" x14ac:dyDescent="0.2">
      <c r="A165" s="162">
        <v>2</v>
      </c>
      <c r="B165" s="197">
        <f t="shared" si="45"/>
        <v>44228</v>
      </c>
      <c r="C165" s="221">
        <f t="shared" si="51"/>
        <v>44258</v>
      </c>
      <c r="D165" s="221">
        <f t="shared" si="51"/>
        <v>44279</v>
      </c>
      <c r="E165" s="229" t="s">
        <v>54</v>
      </c>
      <c r="F165" s="162">
        <v>9</v>
      </c>
      <c r="G165" s="200">
        <v>8</v>
      </c>
      <c r="H165" s="201">
        <f t="shared" si="46"/>
        <v>7.0559102035395256</v>
      </c>
      <c r="I165" s="201">
        <f t="shared" si="44"/>
        <v>5.1121348776600728</v>
      </c>
      <c r="J165" s="202">
        <f t="shared" si="47"/>
        <v>40.897079021280582</v>
      </c>
      <c r="K165" s="203">
        <f t="shared" si="41"/>
        <v>56.447281628316205</v>
      </c>
      <c r="L165" s="204">
        <f t="shared" si="52"/>
        <v>-15.550202607035622</v>
      </c>
      <c r="M165" s="205">
        <f t="shared" si="48"/>
        <v>-0.49622793149205824</v>
      </c>
      <c r="N165" s="206">
        <f t="shared" si="49"/>
        <v>-16.04643053852768</v>
      </c>
      <c r="O165" s="205">
        <v>0</v>
      </c>
      <c r="P165" s="205">
        <v>0</v>
      </c>
      <c r="Q165" s="205">
        <v>0</v>
      </c>
      <c r="R165" s="206">
        <f t="shared" si="50"/>
        <v>-16.04643053852768</v>
      </c>
    </row>
    <row r="166" spans="1:19" x14ac:dyDescent="0.2">
      <c r="A166" s="162">
        <v>3</v>
      </c>
      <c r="B166" s="197">
        <f t="shared" si="45"/>
        <v>44256</v>
      </c>
      <c r="C166" s="221">
        <f t="shared" si="51"/>
        <v>44291</v>
      </c>
      <c r="D166" s="221">
        <f t="shared" si="51"/>
        <v>44312</v>
      </c>
      <c r="E166" s="229" t="s">
        <v>54</v>
      </c>
      <c r="F166" s="162">
        <v>9</v>
      </c>
      <c r="G166" s="200">
        <v>7</v>
      </c>
      <c r="H166" s="201">
        <f t="shared" si="46"/>
        <v>7.0559102035395256</v>
      </c>
      <c r="I166" s="201">
        <f t="shared" si="44"/>
        <v>5.1121348776600728</v>
      </c>
      <c r="J166" s="202">
        <f t="shared" si="47"/>
        <v>35.784944143620507</v>
      </c>
      <c r="K166" s="203">
        <f t="shared" si="41"/>
        <v>49.391371424776679</v>
      </c>
      <c r="L166" s="204">
        <f>+J166-K166</f>
        <v>-13.606427281156172</v>
      </c>
      <c r="M166" s="205">
        <f t="shared" si="48"/>
        <v>-0.434199440055551</v>
      </c>
      <c r="N166" s="206">
        <f t="shared" si="49"/>
        <v>-14.040626721211723</v>
      </c>
      <c r="O166" s="205">
        <v>0</v>
      </c>
      <c r="P166" s="205">
        <v>0</v>
      </c>
      <c r="Q166" s="205">
        <v>0</v>
      </c>
      <c r="R166" s="206">
        <f t="shared" si="50"/>
        <v>-14.040626721211723</v>
      </c>
    </row>
    <row r="167" spans="1:19" x14ac:dyDescent="0.2">
      <c r="A167" s="124">
        <v>4</v>
      </c>
      <c r="B167" s="197">
        <f t="shared" si="45"/>
        <v>44287</v>
      </c>
      <c r="C167" s="221">
        <f t="shared" si="51"/>
        <v>44321</v>
      </c>
      <c r="D167" s="221">
        <f t="shared" si="51"/>
        <v>44340</v>
      </c>
      <c r="E167" s="229" t="s">
        <v>54</v>
      </c>
      <c r="F167" s="162">
        <v>9</v>
      </c>
      <c r="G167" s="200">
        <v>12</v>
      </c>
      <c r="H167" s="201">
        <f t="shared" si="46"/>
        <v>7.0559102035395256</v>
      </c>
      <c r="I167" s="201">
        <f t="shared" si="44"/>
        <v>5.1121348776600728</v>
      </c>
      <c r="J167" s="202">
        <f t="shared" si="47"/>
        <v>61.345618531920877</v>
      </c>
      <c r="K167" s="203">
        <f t="shared" si="41"/>
        <v>84.670922442474307</v>
      </c>
      <c r="L167" s="204">
        <f t="shared" ref="L167:L177" si="53">+J167-K167</f>
        <v>-23.32530391055343</v>
      </c>
      <c r="M167" s="205">
        <f t="shared" si="48"/>
        <v>-0.74434189723808741</v>
      </c>
      <c r="N167" s="206">
        <f t="shared" si="49"/>
        <v>-24.069645807791517</v>
      </c>
      <c r="O167" s="205">
        <v>0</v>
      </c>
      <c r="P167" s="205">
        <v>0</v>
      </c>
      <c r="Q167" s="205">
        <v>0</v>
      </c>
      <c r="R167" s="206">
        <f t="shared" si="50"/>
        <v>-24.069645807791517</v>
      </c>
    </row>
    <row r="168" spans="1:19" x14ac:dyDescent="0.2">
      <c r="A168" s="162">
        <v>5</v>
      </c>
      <c r="B168" s="197">
        <f t="shared" si="45"/>
        <v>44317</v>
      </c>
      <c r="C168" s="221">
        <f t="shared" si="51"/>
        <v>44350</v>
      </c>
      <c r="D168" s="221">
        <f t="shared" si="51"/>
        <v>44371</v>
      </c>
      <c r="E168" s="229" t="s">
        <v>54</v>
      </c>
      <c r="F168" s="162">
        <v>9</v>
      </c>
      <c r="G168" s="200">
        <v>11</v>
      </c>
      <c r="H168" s="201">
        <f t="shared" si="46"/>
        <v>7.0559102035395256</v>
      </c>
      <c r="I168" s="201">
        <f t="shared" si="44"/>
        <v>5.1121348776600728</v>
      </c>
      <c r="J168" s="202">
        <f t="shared" si="47"/>
        <v>56.233483654260802</v>
      </c>
      <c r="K168" s="203">
        <f t="shared" si="41"/>
        <v>77.615012238934781</v>
      </c>
      <c r="L168" s="204">
        <f t="shared" si="53"/>
        <v>-21.38152858467398</v>
      </c>
      <c r="M168" s="205">
        <f t="shared" si="48"/>
        <v>-0.68231340580158018</v>
      </c>
      <c r="N168" s="206">
        <f t="shared" si="49"/>
        <v>-22.063841990475559</v>
      </c>
      <c r="O168" s="205">
        <v>0</v>
      </c>
      <c r="P168" s="205">
        <v>0</v>
      </c>
      <c r="Q168" s="205">
        <v>0</v>
      </c>
      <c r="R168" s="206">
        <f t="shared" si="50"/>
        <v>-22.063841990475559</v>
      </c>
    </row>
    <row r="169" spans="1:19" x14ac:dyDescent="0.2">
      <c r="A169" s="162">
        <v>6</v>
      </c>
      <c r="B169" s="197">
        <f t="shared" si="45"/>
        <v>44348</v>
      </c>
      <c r="C169" s="221">
        <f t="shared" si="51"/>
        <v>44383</v>
      </c>
      <c r="D169" s="221">
        <f t="shared" si="51"/>
        <v>44401</v>
      </c>
      <c r="E169" s="229" t="s">
        <v>54</v>
      </c>
      <c r="F169" s="162">
        <v>9</v>
      </c>
      <c r="G169" s="200">
        <v>13</v>
      </c>
      <c r="H169" s="201">
        <f t="shared" si="46"/>
        <v>7.0559102035395256</v>
      </c>
      <c r="I169" s="201">
        <f t="shared" si="44"/>
        <v>5.1121348776600728</v>
      </c>
      <c r="J169" s="202">
        <f t="shared" si="47"/>
        <v>66.457753409580945</v>
      </c>
      <c r="K169" s="203">
        <f t="shared" si="41"/>
        <v>91.726832646013833</v>
      </c>
      <c r="L169" s="208">
        <f t="shared" si="53"/>
        <v>-25.269079236432887</v>
      </c>
      <c r="M169" s="205">
        <f t="shared" si="48"/>
        <v>-0.80637038867459476</v>
      </c>
      <c r="N169" s="206">
        <f t="shared" si="49"/>
        <v>-26.075449625107481</v>
      </c>
      <c r="O169" s="205">
        <v>0</v>
      </c>
      <c r="P169" s="205">
        <v>0</v>
      </c>
      <c r="Q169" s="205">
        <v>0</v>
      </c>
      <c r="R169" s="206">
        <f t="shared" si="50"/>
        <v>-26.075449625107481</v>
      </c>
    </row>
    <row r="170" spans="1:19" x14ac:dyDescent="0.2">
      <c r="A170" s="124">
        <v>7</v>
      </c>
      <c r="B170" s="197">
        <f t="shared" si="45"/>
        <v>44378</v>
      </c>
      <c r="C170" s="221">
        <f t="shared" si="51"/>
        <v>44412</v>
      </c>
      <c r="D170" s="221">
        <f t="shared" si="51"/>
        <v>44432</v>
      </c>
      <c r="E170" s="229" t="s">
        <v>54</v>
      </c>
      <c r="F170" s="162">
        <v>9</v>
      </c>
      <c r="G170" s="200">
        <v>13</v>
      </c>
      <c r="H170" s="201">
        <f t="shared" si="46"/>
        <v>7.0559102035395256</v>
      </c>
      <c r="I170" s="201">
        <f t="shared" si="44"/>
        <v>5.1121348776600728</v>
      </c>
      <c r="J170" s="202">
        <f t="shared" si="47"/>
        <v>66.457753409580945</v>
      </c>
      <c r="K170" s="209">
        <f t="shared" si="41"/>
        <v>91.726832646013833</v>
      </c>
      <c r="L170" s="208">
        <f t="shared" si="53"/>
        <v>-25.269079236432887</v>
      </c>
      <c r="M170" s="205">
        <f t="shared" si="48"/>
        <v>-0.80637038867459476</v>
      </c>
      <c r="N170" s="206">
        <f t="shared" si="49"/>
        <v>-26.075449625107481</v>
      </c>
      <c r="O170" s="205">
        <v>0</v>
      </c>
      <c r="P170" s="205">
        <v>0</v>
      </c>
      <c r="Q170" s="205">
        <v>0</v>
      </c>
      <c r="R170" s="206">
        <f t="shared" si="50"/>
        <v>-26.075449625107481</v>
      </c>
    </row>
    <row r="171" spans="1:19" x14ac:dyDescent="0.2">
      <c r="A171" s="162">
        <v>8</v>
      </c>
      <c r="B171" s="197">
        <f t="shared" si="45"/>
        <v>44409</v>
      </c>
      <c r="C171" s="221">
        <f t="shared" si="51"/>
        <v>44442</v>
      </c>
      <c r="D171" s="221">
        <f t="shared" si="51"/>
        <v>44463</v>
      </c>
      <c r="E171" s="229" t="s">
        <v>54</v>
      </c>
      <c r="F171" s="124">
        <v>9</v>
      </c>
      <c r="G171" s="200">
        <v>12</v>
      </c>
      <c r="H171" s="201">
        <f t="shared" si="46"/>
        <v>7.0559102035395256</v>
      </c>
      <c r="I171" s="201">
        <f t="shared" si="44"/>
        <v>5.1121348776600728</v>
      </c>
      <c r="J171" s="202">
        <f t="shared" si="47"/>
        <v>61.345618531920877</v>
      </c>
      <c r="K171" s="209">
        <f t="shared" si="41"/>
        <v>84.670922442474307</v>
      </c>
      <c r="L171" s="208">
        <f t="shared" si="53"/>
        <v>-23.32530391055343</v>
      </c>
      <c r="M171" s="205">
        <f t="shared" si="48"/>
        <v>-0.74434189723808741</v>
      </c>
      <c r="N171" s="206">
        <f t="shared" si="49"/>
        <v>-24.069645807791517</v>
      </c>
      <c r="O171" s="205">
        <v>0</v>
      </c>
      <c r="P171" s="205">
        <v>0</v>
      </c>
      <c r="Q171" s="205">
        <v>0</v>
      </c>
      <c r="R171" s="206">
        <f t="shared" si="50"/>
        <v>-24.069645807791517</v>
      </c>
      <c r="S171" s="52"/>
    </row>
    <row r="172" spans="1:19" x14ac:dyDescent="0.2">
      <c r="A172" s="162">
        <v>9</v>
      </c>
      <c r="B172" s="197">
        <f t="shared" si="45"/>
        <v>44440</v>
      </c>
      <c r="C172" s="221">
        <f t="shared" ref="C172:D175" si="54">+C160</f>
        <v>44474</v>
      </c>
      <c r="D172" s="221">
        <f t="shared" si="54"/>
        <v>44494</v>
      </c>
      <c r="E172" s="229" t="s">
        <v>54</v>
      </c>
      <c r="F172" s="124">
        <v>9</v>
      </c>
      <c r="G172" s="200">
        <v>13</v>
      </c>
      <c r="H172" s="201">
        <f t="shared" si="46"/>
        <v>7.0559102035395256</v>
      </c>
      <c r="I172" s="201">
        <f t="shared" si="44"/>
        <v>5.1121348776600728</v>
      </c>
      <c r="J172" s="202">
        <f t="shared" si="47"/>
        <v>66.457753409580945</v>
      </c>
      <c r="K172" s="209">
        <f t="shared" si="41"/>
        <v>91.726832646013833</v>
      </c>
      <c r="L172" s="208">
        <f t="shared" si="53"/>
        <v>-25.269079236432887</v>
      </c>
      <c r="M172" s="205">
        <f t="shared" si="48"/>
        <v>-0.80637038867459476</v>
      </c>
      <c r="N172" s="206">
        <f t="shared" si="49"/>
        <v>-26.075449625107481</v>
      </c>
      <c r="O172" s="205">
        <v>0</v>
      </c>
      <c r="P172" s="205">
        <v>0</v>
      </c>
      <c r="Q172" s="205">
        <v>0</v>
      </c>
      <c r="R172" s="206">
        <f t="shared" si="50"/>
        <v>-26.075449625107481</v>
      </c>
    </row>
    <row r="173" spans="1:19" x14ac:dyDescent="0.2">
      <c r="A173" s="124">
        <v>10</v>
      </c>
      <c r="B173" s="197">
        <f t="shared" si="45"/>
        <v>44470</v>
      </c>
      <c r="C173" s="221">
        <f t="shared" si="54"/>
        <v>44503</v>
      </c>
      <c r="D173" s="221">
        <f t="shared" si="54"/>
        <v>44524</v>
      </c>
      <c r="E173" s="229" t="s">
        <v>54</v>
      </c>
      <c r="F173" s="124">
        <v>9</v>
      </c>
      <c r="G173" s="200">
        <v>8</v>
      </c>
      <c r="H173" s="201">
        <f t="shared" si="46"/>
        <v>7.0559102035395256</v>
      </c>
      <c r="I173" s="201">
        <f t="shared" si="44"/>
        <v>5.1121348776600728</v>
      </c>
      <c r="J173" s="202">
        <f t="shared" si="47"/>
        <v>40.897079021280582</v>
      </c>
      <c r="K173" s="209">
        <f t="shared" si="41"/>
        <v>56.447281628316205</v>
      </c>
      <c r="L173" s="208">
        <f t="shared" si="53"/>
        <v>-15.550202607035622</v>
      </c>
      <c r="M173" s="205">
        <f t="shared" si="48"/>
        <v>-0.49622793149205824</v>
      </c>
      <c r="N173" s="206">
        <f t="shared" si="49"/>
        <v>-16.04643053852768</v>
      </c>
      <c r="O173" s="205">
        <v>0</v>
      </c>
      <c r="P173" s="205">
        <v>0</v>
      </c>
      <c r="Q173" s="205">
        <v>0</v>
      </c>
      <c r="R173" s="206">
        <f t="shared" si="50"/>
        <v>-16.04643053852768</v>
      </c>
    </row>
    <row r="174" spans="1:19" x14ac:dyDescent="0.2">
      <c r="A174" s="162">
        <v>11</v>
      </c>
      <c r="B174" s="197">
        <f t="shared" si="45"/>
        <v>44501</v>
      </c>
      <c r="C174" s="221">
        <f t="shared" si="54"/>
        <v>44533</v>
      </c>
      <c r="D174" s="221">
        <f t="shared" si="54"/>
        <v>44557</v>
      </c>
      <c r="E174" s="229" t="s">
        <v>54</v>
      </c>
      <c r="F174" s="124">
        <v>9</v>
      </c>
      <c r="G174" s="200">
        <v>8</v>
      </c>
      <c r="H174" s="201">
        <f t="shared" si="46"/>
        <v>7.0559102035395256</v>
      </c>
      <c r="I174" s="201">
        <f t="shared" si="44"/>
        <v>5.1121348776600728</v>
      </c>
      <c r="J174" s="202">
        <f t="shared" si="47"/>
        <v>40.897079021280582</v>
      </c>
      <c r="K174" s="209">
        <f t="shared" si="41"/>
        <v>56.447281628316205</v>
      </c>
      <c r="L174" s="208">
        <f t="shared" si="53"/>
        <v>-15.550202607035622</v>
      </c>
      <c r="M174" s="205">
        <f t="shared" si="48"/>
        <v>-0.49622793149205824</v>
      </c>
      <c r="N174" s="206">
        <f t="shared" si="49"/>
        <v>-16.04643053852768</v>
      </c>
      <c r="O174" s="205">
        <v>0</v>
      </c>
      <c r="P174" s="205">
        <v>0</v>
      </c>
      <c r="Q174" s="205">
        <v>0</v>
      </c>
      <c r="R174" s="206">
        <f t="shared" si="50"/>
        <v>-16.04643053852768</v>
      </c>
    </row>
    <row r="175" spans="1:19" s="225" customFormat="1" x14ac:dyDescent="0.2">
      <c r="A175" s="162">
        <v>12</v>
      </c>
      <c r="B175" s="223">
        <f t="shared" si="45"/>
        <v>44531</v>
      </c>
      <c r="C175" s="221">
        <f t="shared" si="54"/>
        <v>44566</v>
      </c>
      <c r="D175" s="221">
        <f t="shared" si="54"/>
        <v>44585</v>
      </c>
      <c r="E175" s="230" t="s">
        <v>54</v>
      </c>
      <c r="F175" s="173">
        <v>9</v>
      </c>
      <c r="G175" s="212">
        <v>11</v>
      </c>
      <c r="H175" s="213">
        <f t="shared" si="46"/>
        <v>7.0559102035395256</v>
      </c>
      <c r="I175" s="213">
        <f t="shared" si="44"/>
        <v>5.1121348776600728</v>
      </c>
      <c r="J175" s="214">
        <f t="shared" si="47"/>
        <v>56.233483654260802</v>
      </c>
      <c r="K175" s="215">
        <f t="shared" si="41"/>
        <v>77.615012238934781</v>
      </c>
      <c r="L175" s="216">
        <f t="shared" si="53"/>
        <v>-21.38152858467398</v>
      </c>
      <c r="M175" s="205">
        <f t="shared" si="48"/>
        <v>-0.68231340580158018</v>
      </c>
      <c r="N175" s="206">
        <f t="shared" si="49"/>
        <v>-22.063841990475559</v>
      </c>
      <c r="O175" s="205">
        <v>0</v>
      </c>
      <c r="P175" s="205">
        <v>0</v>
      </c>
      <c r="Q175" s="205">
        <v>0</v>
      </c>
      <c r="R175" s="206">
        <f t="shared" si="50"/>
        <v>-22.063841990475559</v>
      </c>
    </row>
    <row r="176" spans="1:19" x14ac:dyDescent="0.2">
      <c r="A176" s="124">
        <v>1</v>
      </c>
      <c r="B176" s="197">
        <f t="shared" si="45"/>
        <v>44197</v>
      </c>
      <c r="C176" s="218">
        <f t="shared" ref="C176:D187" si="55">+C152</f>
        <v>44230</v>
      </c>
      <c r="D176" s="218">
        <f t="shared" si="55"/>
        <v>44251</v>
      </c>
      <c r="E176" s="228" t="s">
        <v>55</v>
      </c>
      <c r="F176" s="162">
        <v>9</v>
      </c>
      <c r="G176" s="200">
        <v>20</v>
      </c>
      <c r="H176" s="201">
        <f t="shared" si="46"/>
        <v>7.0559102035395256</v>
      </c>
      <c r="I176" s="201">
        <f t="shared" si="44"/>
        <v>5.1121348776600728</v>
      </c>
      <c r="J176" s="202">
        <f t="shared" si="47"/>
        <v>102.24269755320145</v>
      </c>
      <c r="K176" s="203">
        <f t="shared" si="41"/>
        <v>141.11820407079051</v>
      </c>
      <c r="L176" s="204">
        <f t="shared" si="53"/>
        <v>-38.875506517589059</v>
      </c>
      <c r="M176" s="205">
        <f t="shared" si="48"/>
        <v>-1.2405698287301457</v>
      </c>
      <c r="N176" s="206">
        <f t="shared" si="49"/>
        <v>-40.116076346319204</v>
      </c>
      <c r="O176" s="205">
        <v>0</v>
      </c>
      <c r="P176" s="205">
        <v>0</v>
      </c>
      <c r="Q176" s="205">
        <v>0</v>
      </c>
      <c r="R176" s="206">
        <f t="shared" si="50"/>
        <v>-40.116076346319204</v>
      </c>
    </row>
    <row r="177" spans="1:18" x14ac:dyDescent="0.2">
      <c r="A177" s="162">
        <v>2</v>
      </c>
      <c r="B177" s="197">
        <f t="shared" si="45"/>
        <v>44228</v>
      </c>
      <c r="C177" s="221">
        <f t="shared" si="55"/>
        <v>44258</v>
      </c>
      <c r="D177" s="221">
        <f t="shared" si="55"/>
        <v>44279</v>
      </c>
      <c r="E177" s="54" t="s">
        <v>55</v>
      </c>
      <c r="F177" s="162">
        <v>9</v>
      </c>
      <c r="G177" s="200">
        <v>23</v>
      </c>
      <c r="H177" s="201">
        <f t="shared" si="46"/>
        <v>7.0559102035395256</v>
      </c>
      <c r="I177" s="201">
        <f t="shared" si="44"/>
        <v>5.1121348776600728</v>
      </c>
      <c r="J177" s="202">
        <f t="shared" si="47"/>
        <v>117.57910218618167</v>
      </c>
      <c r="K177" s="203">
        <f t="shared" si="41"/>
        <v>162.28593468140909</v>
      </c>
      <c r="L177" s="204">
        <f t="shared" si="53"/>
        <v>-44.706832495227417</v>
      </c>
      <c r="M177" s="205">
        <f t="shared" si="48"/>
        <v>-1.4266553030396676</v>
      </c>
      <c r="N177" s="206">
        <f t="shared" si="49"/>
        <v>-46.133487798267083</v>
      </c>
      <c r="O177" s="205">
        <v>0</v>
      </c>
      <c r="P177" s="205">
        <v>0</v>
      </c>
      <c r="Q177" s="205">
        <v>0</v>
      </c>
      <c r="R177" s="206">
        <f t="shared" si="50"/>
        <v>-46.133487798267083</v>
      </c>
    </row>
    <row r="178" spans="1:18" x14ac:dyDescent="0.2">
      <c r="A178" s="162">
        <v>3</v>
      </c>
      <c r="B178" s="197">
        <f t="shared" si="45"/>
        <v>44256</v>
      </c>
      <c r="C178" s="221">
        <f t="shared" si="55"/>
        <v>44291</v>
      </c>
      <c r="D178" s="221">
        <f t="shared" si="55"/>
        <v>44312</v>
      </c>
      <c r="E178" s="54" t="s">
        <v>55</v>
      </c>
      <c r="F178" s="162">
        <v>9</v>
      </c>
      <c r="G178" s="200">
        <v>16</v>
      </c>
      <c r="H178" s="201">
        <f t="shared" si="46"/>
        <v>7.0559102035395256</v>
      </c>
      <c r="I178" s="201">
        <f t="shared" si="44"/>
        <v>5.1121348776600728</v>
      </c>
      <c r="J178" s="202">
        <f t="shared" si="47"/>
        <v>81.794158042561165</v>
      </c>
      <c r="K178" s="203">
        <f t="shared" si="41"/>
        <v>112.89456325663241</v>
      </c>
      <c r="L178" s="204">
        <f>+J178-K178</f>
        <v>-31.100405214071245</v>
      </c>
      <c r="M178" s="205">
        <f t="shared" si="48"/>
        <v>-0.99245586298411648</v>
      </c>
      <c r="N178" s="206">
        <f t="shared" si="49"/>
        <v>-32.09286107705536</v>
      </c>
      <c r="O178" s="205">
        <v>0</v>
      </c>
      <c r="P178" s="205">
        <v>0</v>
      </c>
      <c r="Q178" s="205">
        <v>0</v>
      </c>
      <c r="R178" s="206">
        <f t="shared" si="50"/>
        <v>-32.09286107705536</v>
      </c>
    </row>
    <row r="179" spans="1:18" x14ac:dyDescent="0.2">
      <c r="A179" s="124">
        <v>4</v>
      </c>
      <c r="B179" s="197">
        <f t="shared" si="45"/>
        <v>44287</v>
      </c>
      <c r="C179" s="221">
        <f t="shared" si="55"/>
        <v>44321</v>
      </c>
      <c r="D179" s="221">
        <f t="shared" si="55"/>
        <v>44340</v>
      </c>
      <c r="E179" s="54" t="s">
        <v>55</v>
      </c>
      <c r="F179" s="162">
        <v>9</v>
      </c>
      <c r="G179" s="200">
        <v>20</v>
      </c>
      <c r="H179" s="201">
        <f t="shared" si="46"/>
        <v>7.0559102035395256</v>
      </c>
      <c r="I179" s="201">
        <f t="shared" si="44"/>
        <v>5.1121348776600728</v>
      </c>
      <c r="J179" s="202">
        <f t="shared" si="47"/>
        <v>102.24269755320145</v>
      </c>
      <c r="K179" s="203">
        <f t="shared" si="41"/>
        <v>141.11820407079051</v>
      </c>
      <c r="L179" s="204">
        <f t="shared" ref="L179:L189" si="56">+J179-K179</f>
        <v>-38.875506517589059</v>
      </c>
      <c r="M179" s="205">
        <f t="shared" si="48"/>
        <v>-1.2405698287301457</v>
      </c>
      <c r="N179" s="206">
        <f t="shared" si="49"/>
        <v>-40.116076346319204</v>
      </c>
      <c r="O179" s="205">
        <v>0</v>
      </c>
      <c r="P179" s="205">
        <v>0</v>
      </c>
      <c r="Q179" s="205">
        <v>0</v>
      </c>
      <c r="R179" s="206">
        <f t="shared" si="50"/>
        <v>-40.116076346319204</v>
      </c>
    </row>
    <row r="180" spans="1:18" x14ac:dyDescent="0.2">
      <c r="A180" s="162">
        <v>5</v>
      </c>
      <c r="B180" s="197">
        <f t="shared" si="45"/>
        <v>44317</v>
      </c>
      <c r="C180" s="221">
        <f t="shared" si="55"/>
        <v>44350</v>
      </c>
      <c r="D180" s="221">
        <f t="shared" si="55"/>
        <v>44371</v>
      </c>
      <c r="E180" s="54" t="s">
        <v>55</v>
      </c>
      <c r="F180" s="162">
        <v>9</v>
      </c>
      <c r="G180" s="200">
        <v>27</v>
      </c>
      <c r="H180" s="201">
        <f t="shared" si="46"/>
        <v>7.0559102035395256</v>
      </c>
      <c r="I180" s="201">
        <f t="shared" ref="I180:I211" si="57">$J$3</f>
        <v>5.1121348776600728</v>
      </c>
      <c r="J180" s="202">
        <f t="shared" si="47"/>
        <v>138.02764169682197</v>
      </c>
      <c r="K180" s="203">
        <f t="shared" si="41"/>
        <v>190.50957549556719</v>
      </c>
      <c r="L180" s="204">
        <f t="shared" si="56"/>
        <v>-52.481933798745217</v>
      </c>
      <c r="M180" s="205">
        <f t="shared" si="48"/>
        <v>-1.6747692687856968</v>
      </c>
      <c r="N180" s="206">
        <f t="shared" si="49"/>
        <v>-54.156703067530913</v>
      </c>
      <c r="O180" s="205">
        <v>0</v>
      </c>
      <c r="P180" s="205">
        <v>0</v>
      </c>
      <c r="Q180" s="205">
        <v>0</v>
      </c>
      <c r="R180" s="206">
        <f t="shared" si="50"/>
        <v>-54.156703067530913</v>
      </c>
    </row>
    <row r="181" spans="1:18" x14ac:dyDescent="0.2">
      <c r="A181" s="162">
        <v>6</v>
      </c>
      <c r="B181" s="197">
        <f t="shared" si="45"/>
        <v>44348</v>
      </c>
      <c r="C181" s="221">
        <f t="shared" si="55"/>
        <v>44383</v>
      </c>
      <c r="D181" s="221">
        <f t="shared" si="55"/>
        <v>44401</v>
      </c>
      <c r="E181" s="54" t="s">
        <v>55</v>
      </c>
      <c r="F181" s="162">
        <v>9</v>
      </c>
      <c r="G181" s="200">
        <v>32</v>
      </c>
      <c r="H181" s="201">
        <f t="shared" si="46"/>
        <v>7.0559102035395256</v>
      </c>
      <c r="I181" s="201">
        <f t="shared" si="57"/>
        <v>5.1121348776600728</v>
      </c>
      <c r="J181" s="202">
        <f t="shared" si="47"/>
        <v>163.58831608512233</v>
      </c>
      <c r="K181" s="203">
        <f t="shared" si="41"/>
        <v>225.78912651326482</v>
      </c>
      <c r="L181" s="208">
        <f t="shared" si="56"/>
        <v>-62.200810428142489</v>
      </c>
      <c r="M181" s="205">
        <f t="shared" si="48"/>
        <v>-1.984911725968233</v>
      </c>
      <c r="N181" s="206">
        <f t="shared" si="49"/>
        <v>-64.185722154110721</v>
      </c>
      <c r="O181" s="205">
        <v>0</v>
      </c>
      <c r="P181" s="205">
        <v>0</v>
      </c>
      <c r="Q181" s="205">
        <v>0</v>
      </c>
      <c r="R181" s="206">
        <f t="shared" si="50"/>
        <v>-64.185722154110721</v>
      </c>
    </row>
    <row r="182" spans="1:18" x14ac:dyDescent="0.2">
      <c r="A182" s="124">
        <v>7</v>
      </c>
      <c r="B182" s="197">
        <f t="shared" si="45"/>
        <v>44378</v>
      </c>
      <c r="C182" s="221">
        <f t="shared" si="55"/>
        <v>44412</v>
      </c>
      <c r="D182" s="221">
        <f t="shared" si="55"/>
        <v>44432</v>
      </c>
      <c r="E182" s="54" t="s">
        <v>55</v>
      </c>
      <c r="F182" s="162">
        <v>9</v>
      </c>
      <c r="G182" s="200">
        <v>37</v>
      </c>
      <c r="H182" s="201">
        <f t="shared" si="46"/>
        <v>7.0559102035395256</v>
      </c>
      <c r="I182" s="201">
        <f t="shared" si="57"/>
        <v>5.1121348776600728</v>
      </c>
      <c r="J182" s="202">
        <f t="shared" si="47"/>
        <v>189.14899047342269</v>
      </c>
      <c r="K182" s="209">
        <f t="shared" si="41"/>
        <v>261.06867753096242</v>
      </c>
      <c r="L182" s="208">
        <f t="shared" si="56"/>
        <v>-71.919687057539733</v>
      </c>
      <c r="M182" s="205">
        <f t="shared" si="48"/>
        <v>-2.2950541831507696</v>
      </c>
      <c r="N182" s="206">
        <f t="shared" si="49"/>
        <v>-74.2147412406905</v>
      </c>
      <c r="O182" s="205">
        <v>0</v>
      </c>
      <c r="P182" s="205">
        <v>0</v>
      </c>
      <c r="Q182" s="205">
        <v>0</v>
      </c>
      <c r="R182" s="206">
        <f t="shared" si="50"/>
        <v>-74.2147412406905</v>
      </c>
    </row>
    <row r="183" spans="1:18" x14ac:dyDescent="0.2">
      <c r="A183" s="162">
        <v>8</v>
      </c>
      <c r="B183" s="197">
        <f t="shared" si="45"/>
        <v>44409</v>
      </c>
      <c r="C183" s="221">
        <f t="shared" si="55"/>
        <v>44442</v>
      </c>
      <c r="D183" s="221">
        <f t="shared" si="55"/>
        <v>44463</v>
      </c>
      <c r="E183" s="54" t="s">
        <v>55</v>
      </c>
      <c r="F183" s="162">
        <v>9</v>
      </c>
      <c r="G183" s="200">
        <v>33</v>
      </c>
      <c r="H183" s="201">
        <f t="shared" si="46"/>
        <v>7.0559102035395256</v>
      </c>
      <c r="I183" s="201">
        <f t="shared" si="57"/>
        <v>5.1121348776600728</v>
      </c>
      <c r="J183" s="202">
        <f t="shared" si="47"/>
        <v>168.70045096278241</v>
      </c>
      <c r="K183" s="209">
        <f t="shared" si="41"/>
        <v>232.84503671680434</v>
      </c>
      <c r="L183" s="208">
        <f t="shared" si="56"/>
        <v>-64.144585754021932</v>
      </c>
      <c r="M183" s="205">
        <f t="shared" si="48"/>
        <v>-2.0469402174047402</v>
      </c>
      <c r="N183" s="206">
        <f t="shared" si="49"/>
        <v>-66.191525971426671</v>
      </c>
      <c r="O183" s="205">
        <v>0</v>
      </c>
      <c r="P183" s="205">
        <v>0</v>
      </c>
      <c r="Q183" s="205">
        <v>0</v>
      </c>
      <c r="R183" s="206">
        <f t="shared" si="50"/>
        <v>-66.191525971426671</v>
      </c>
    </row>
    <row r="184" spans="1:18" x14ac:dyDescent="0.2">
      <c r="A184" s="162">
        <v>9</v>
      </c>
      <c r="B184" s="197">
        <f t="shared" si="45"/>
        <v>44440</v>
      </c>
      <c r="C184" s="221">
        <f t="shared" si="55"/>
        <v>44474</v>
      </c>
      <c r="D184" s="221">
        <f t="shared" si="55"/>
        <v>44494</v>
      </c>
      <c r="E184" s="54" t="s">
        <v>55</v>
      </c>
      <c r="F184" s="162">
        <v>9</v>
      </c>
      <c r="G184" s="200">
        <v>37</v>
      </c>
      <c r="H184" s="201">
        <f t="shared" si="46"/>
        <v>7.0559102035395256</v>
      </c>
      <c r="I184" s="201">
        <f t="shared" si="57"/>
        <v>5.1121348776600728</v>
      </c>
      <c r="J184" s="202">
        <f t="shared" si="47"/>
        <v>189.14899047342269</v>
      </c>
      <c r="K184" s="209">
        <f t="shared" si="41"/>
        <v>261.06867753096242</v>
      </c>
      <c r="L184" s="208">
        <f t="shared" si="56"/>
        <v>-71.919687057539733</v>
      </c>
      <c r="M184" s="205">
        <f t="shared" si="48"/>
        <v>-2.2950541831507696</v>
      </c>
      <c r="N184" s="206">
        <f t="shared" si="49"/>
        <v>-74.2147412406905</v>
      </c>
      <c r="O184" s="205">
        <v>0</v>
      </c>
      <c r="P184" s="205">
        <v>0</v>
      </c>
      <c r="Q184" s="205">
        <v>0</v>
      </c>
      <c r="R184" s="206">
        <f t="shared" si="50"/>
        <v>-74.2147412406905</v>
      </c>
    </row>
    <row r="185" spans="1:18" x14ac:dyDescent="0.2">
      <c r="A185" s="124">
        <v>10</v>
      </c>
      <c r="B185" s="197">
        <f t="shared" si="45"/>
        <v>44470</v>
      </c>
      <c r="C185" s="221">
        <f t="shared" si="55"/>
        <v>44503</v>
      </c>
      <c r="D185" s="221">
        <f t="shared" si="55"/>
        <v>44524</v>
      </c>
      <c r="E185" s="54" t="s">
        <v>55</v>
      </c>
      <c r="F185" s="162">
        <v>9</v>
      </c>
      <c r="G185" s="200">
        <v>27</v>
      </c>
      <c r="H185" s="201">
        <f t="shared" si="46"/>
        <v>7.0559102035395256</v>
      </c>
      <c r="I185" s="201">
        <f t="shared" si="57"/>
        <v>5.1121348776600728</v>
      </c>
      <c r="J185" s="202">
        <f t="shared" si="47"/>
        <v>138.02764169682197</v>
      </c>
      <c r="K185" s="209">
        <f t="shared" si="41"/>
        <v>190.50957549556719</v>
      </c>
      <c r="L185" s="208">
        <f t="shared" si="56"/>
        <v>-52.481933798745217</v>
      </c>
      <c r="M185" s="205">
        <f t="shared" si="48"/>
        <v>-1.6747692687856968</v>
      </c>
      <c r="N185" s="206">
        <f t="shared" si="49"/>
        <v>-54.156703067530913</v>
      </c>
      <c r="O185" s="205">
        <v>0</v>
      </c>
      <c r="P185" s="205">
        <v>0</v>
      </c>
      <c r="Q185" s="205">
        <v>0</v>
      </c>
      <c r="R185" s="206">
        <f t="shared" si="50"/>
        <v>-54.156703067530913</v>
      </c>
    </row>
    <row r="186" spans="1:18" x14ac:dyDescent="0.2">
      <c r="A186" s="162">
        <v>11</v>
      </c>
      <c r="B186" s="197">
        <f t="shared" si="45"/>
        <v>44501</v>
      </c>
      <c r="C186" s="221">
        <f t="shared" si="55"/>
        <v>44533</v>
      </c>
      <c r="D186" s="221">
        <f t="shared" si="55"/>
        <v>44557</v>
      </c>
      <c r="E186" s="54" t="s">
        <v>55</v>
      </c>
      <c r="F186" s="162">
        <v>9</v>
      </c>
      <c r="G186" s="200">
        <v>16</v>
      </c>
      <c r="H186" s="201">
        <f t="shared" si="46"/>
        <v>7.0559102035395256</v>
      </c>
      <c r="I186" s="201">
        <f t="shared" si="57"/>
        <v>5.1121348776600728</v>
      </c>
      <c r="J186" s="202">
        <f t="shared" si="47"/>
        <v>81.794158042561165</v>
      </c>
      <c r="K186" s="209">
        <f t="shared" si="41"/>
        <v>112.89456325663241</v>
      </c>
      <c r="L186" s="208">
        <f t="shared" si="56"/>
        <v>-31.100405214071245</v>
      </c>
      <c r="M186" s="205">
        <f t="shared" si="48"/>
        <v>-0.99245586298411648</v>
      </c>
      <c r="N186" s="206">
        <f t="shared" si="49"/>
        <v>-32.09286107705536</v>
      </c>
      <c r="O186" s="205">
        <v>0</v>
      </c>
      <c r="P186" s="205">
        <v>0</v>
      </c>
      <c r="Q186" s="205">
        <v>0</v>
      </c>
      <c r="R186" s="206">
        <f t="shared" si="50"/>
        <v>-32.09286107705536</v>
      </c>
    </row>
    <row r="187" spans="1:18" s="225" customFormat="1" x14ac:dyDescent="0.2">
      <c r="A187" s="162">
        <v>12</v>
      </c>
      <c r="B187" s="223">
        <f t="shared" si="45"/>
        <v>44531</v>
      </c>
      <c r="C187" s="221">
        <f t="shared" si="55"/>
        <v>44566</v>
      </c>
      <c r="D187" s="221">
        <f t="shared" si="55"/>
        <v>44585</v>
      </c>
      <c r="E187" s="224" t="s">
        <v>55</v>
      </c>
      <c r="F187" s="173">
        <v>9</v>
      </c>
      <c r="G187" s="212">
        <v>19</v>
      </c>
      <c r="H187" s="213">
        <f t="shared" si="46"/>
        <v>7.0559102035395256</v>
      </c>
      <c r="I187" s="213">
        <f t="shared" si="57"/>
        <v>5.1121348776600728</v>
      </c>
      <c r="J187" s="214">
        <f t="shared" si="47"/>
        <v>97.130562675541384</v>
      </c>
      <c r="K187" s="215">
        <f t="shared" si="41"/>
        <v>134.06229386725099</v>
      </c>
      <c r="L187" s="216">
        <f t="shared" si="56"/>
        <v>-36.931731191709602</v>
      </c>
      <c r="M187" s="205">
        <f t="shared" si="48"/>
        <v>-1.1785413372936384</v>
      </c>
      <c r="N187" s="206">
        <f t="shared" si="49"/>
        <v>-38.11027252900324</v>
      </c>
      <c r="O187" s="205">
        <v>0</v>
      </c>
      <c r="P187" s="205">
        <v>0</v>
      </c>
      <c r="Q187" s="205">
        <v>0</v>
      </c>
      <c r="R187" s="206">
        <f t="shared" si="50"/>
        <v>-38.11027252900324</v>
      </c>
    </row>
    <row r="188" spans="1:18" x14ac:dyDescent="0.2">
      <c r="A188" s="124">
        <v>1</v>
      </c>
      <c r="B188" s="197">
        <f t="shared" si="45"/>
        <v>44197</v>
      </c>
      <c r="C188" s="218">
        <f t="shared" ref="C188:D211" si="58">+C176</f>
        <v>44230</v>
      </c>
      <c r="D188" s="218">
        <f t="shared" si="58"/>
        <v>44251</v>
      </c>
      <c r="E188" s="199" t="s">
        <v>56</v>
      </c>
      <c r="F188" s="124">
        <v>9</v>
      </c>
      <c r="G188" s="200">
        <v>35</v>
      </c>
      <c r="H188" s="201">
        <f t="shared" si="46"/>
        <v>7.0559102035395256</v>
      </c>
      <c r="I188" s="201">
        <f t="shared" si="57"/>
        <v>5.1121348776600728</v>
      </c>
      <c r="J188" s="202">
        <f t="shared" si="47"/>
        <v>178.92472071810255</v>
      </c>
      <c r="K188" s="203">
        <f t="shared" si="41"/>
        <v>246.9568571238834</v>
      </c>
      <c r="L188" s="204">
        <f t="shared" si="56"/>
        <v>-68.032136405780847</v>
      </c>
      <c r="M188" s="205">
        <f t="shared" si="48"/>
        <v>-2.1709972002777551</v>
      </c>
      <c r="N188" s="206">
        <f t="shared" si="49"/>
        <v>-70.2031336060586</v>
      </c>
      <c r="O188" s="205">
        <v>0</v>
      </c>
      <c r="P188" s="205">
        <v>0</v>
      </c>
      <c r="Q188" s="205">
        <v>0</v>
      </c>
      <c r="R188" s="206">
        <f t="shared" si="50"/>
        <v>-70.2031336060586</v>
      </c>
    </row>
    <row r="189" spans="1:18" x14ac:dyDescent="0.2">
      <c r="A189" s="162">
        <v>2</v>
      </c>
      <c r="B189" s="197">
        <f t="shared" si="45"/>
        <v>44228</v>
      </c>
      <c r="C189" s="221">
        <f t="shared" si="58"/>
        <v>44258</v>
      </c>
      <c r="D189" s="221">
        <f t="shared" si="58"/>
        <v>44279</v>
      </c>
      <c r="E189" s="207" t="s">
        <v>56</v>
      </c>
      <c r="F189" s="162">
        <v>9</v>
      </c>
      <c r="G189" s="200">
        <v>33</v>
      </c>
      <c r="H189" s="201">
        <f t="shared" si="46"/>
        <v>7.0559102035395256</v>
      </c>
      <c r="I189" s="201">
        <f t="shared" si="57"/>
        <v>5.1121348776600728</v>
      </c>
      <c r="J189" s="202">
        <f t="shared" si="47"/>
        <v>168.70045096278241</v>
      </c>
      <c r="K189" s="203">
        <f t="shared" si="41"/>
        <v>232.84503671680434</v>
      </c>
      <c r="L189" s="204">
        <f t="shared" si="56"/>
        <v>-64.144585754021932</v>
      </c>
      <c r="M189" s="205">
        <f t="shared" si="48"/>
        <v>-2.0469402174047402</v>
      </c>
      <c r="N189" s="206">
        <f t="shared" si="49"/>
        <v>-66.191525971426671</v>
      </c>
      <c r="O189" s="205">
        <v>0</v>
      </c>
      <c r="P189" s="205">
        <v>0</v>
      </c>
      <c r="Q189" s="205">
        <v>0</v>
      </c>
      <c r="R189" s="206">
        <f t="shared" si="50"/>
        <v>-66.191525971426671</v>
      </c>
    </row>
    <row r="190" spans="1:18" x14ac:dyDescent="0.2">
      <c r="A190" s="162">
        <v>3</v>
      </c>
      <c r="B190" s="197">
        <f t="shared" si="45"/>
        <v>44256</v>
      </c>
      <c r="C190" s="221">
        <f t="shared" si="58"/>
        <v>44291</v>
      </c>
      <c r="D190" s="221">
        <f t="shared" si="58"/>
        <v>44312</v>
      </c>
      <c r="E190" s="207" t="s">
        <v>56</v>
      </c>
      <c r="F190" s="162">
        <v>9</v>
      </c>
      <c r="G190" s="200">
        <v>30</v>
      </c>
      <c r="H190" s="201">
        <f t="shared" si="46"/>
        <v>7.0559102035395256</v>
      </c>
      <c r="I190" s="201">
        <f t="shared" si="57"/>
        <v>5.1121348776600728</v>
      </c>
      <c r="J190" s="202">
        <f t="shared" si="47"/>
        <v>153.36404632980219</v>
      </c>
      <c r="K190" s="203">
        <f t="shared" si="41"/>
        <v>211.67730610618577</v>
      </c>
      <c r="L190" s="204">
        <f>+J190-K190</f>
        <v>-58.313259776383575</v>
      </c>
      <c r="M190" s="205">
        <f t="shared" si="48"/>
        <v>-1.8608547430952185</v>
      </c>
      <c r="N190" s="206">
        <f t="shared" si="49"/>
        <v>-60.174114519478792</v>
      </c>
      <c r="O190" s="205">
        <v>0</v>
      </c>
      <c r="P190" s="205">
        <v>0</v>
      </c>
      <c r="Q190" s="205">
        <v>0</v>
      </c>
      <c r="R190" s="206">
        <f t="shared" si="50"/>
        <v>-60.174114519478792</v>
      </c>
    </row>
    <row r="191" spans="1:18" x14ac:dyDescent="0.2">
      <c r="A191" s="124">
        <v>4</v>
      </c>
      <c r="B191" s="197">
        <f t="shared" si="45"/>
        <v>44287</v>
      </c>
      <c r="C191" s="221">
        <f t="shared" si="58"/>
        <v>44321</v>
      </c>
      <c r="D191" s="221">
        <f t="shared" si="58"/>
        <v>44340</v>
      </c>
      <c r="E191" s="54" t="s">
        <v>56</v>
      </c>
      <c r="F191" s="162">
        <v>9</v>
      </c>
      <c r="G191" s="200">
        <v>32</v>
      </c>
      <c r="H191" s="201">
        <f t="shared" si="46"/>
        <v>7.0559102035395256</v>
      </c>
      <c r="I191" s="201">
        <f t="shared" si="57"/>
        <v>5.1121348776600728</v>
      </c>
      <c r="J191" s="202">
        <f t="shared" si="47"/>
        <v>163.58831608512233</v>
      </c>
      <c r="K191" s="203">
        <f t="shared" si="41"/>
        <v>225.78912651326482</v>
      </c>
      <c r="L191" s="204">
        <f t="shared" ref="L191:L201" si="59">+J191-K191</f>
        <v>-62.200810428142489</v>
      </c>
      <c r="M191" s="205">
        <f t="shared" si="48"/>
        <v>-1.984911725968233</v>
      </c>
      <c r="N191" s="206">
        <f t="shared" si="49"/>
        <v>-64.185722154110721</v>
      </c>
      <c r="O191" s="205">
        <v>0</v>
      </c>
      <c r="P191" s="205">
        <v>0</v>
      </c>
      <c r="Q191" s="205">
        <v>0</v>
      </c>
      <c r="R191" s="206">
        <f t="shared" si="50"/>
        <v>-64.185722154110721</v>
      </c>
    </row>
    <row r="192" spans="1:18" x14ac:dyDescent="0.2">
      <c r="A192" s="162">
        <v>5</v>
      </c>
      <c r="B192" s="197">
        <f t="shared" si="45"/>
        <v>44317</v>
      </c>
      <c r="C192" s="221">
        <f t="shared" si="58"/>
        <v>44350</v>
      </c>
      <c r="D192" s="221">
        <f t="shared" si="58"/>
        <v>44371</v>
      </c>
      <c r="E192" s="54" t="s">
        <v>56</v>
      </c>
      <c r="F192" s="162">
        <v>9</v>
      </c>
      <c r="G192" s="200">
        <v>40</v>
      </c>
      <c r="H192" s="201">
        <f t="shared" si="46"/>
        <v>7.0559102035395256</v>
      </c>
      <c r="I192" s="201">
        <f t="shared" si="57"/>
        <v>5.1121348776600728</v>
      </c>
      <c r="J192" s="202">
        <f t="shared" si="47"/>
        <v>204.4853951064029</v>
      </c>
      <c r="K192" s="203">
        <f t="shared" si="41"/>
        <v>282.23640814158102</v>
      </c>
      <c r="L192" s="204">
        <f t="shared" si="59"/>
        <v>-77.751013035178119</v>
      </c>
      <c r="M192" s="205">
        <f t="shared" si="48"/>
        <v>-2.4811396574602913</v>
      </c>
      <c r="N192" s="206">
        <f t="shared" si="49"/>
        <v>-80.232152692638408</v>
      </c>
      <c r="O192" s="205">
        <v>0</v>
      </c>
      <c r="P192" s="205">
        <v>0</v>
      </c>
      <c r="Q192" s="205">
        <v>0</v>
      </c>
      <c r="R192" s="206">
        <f t="shared" si="50"/>
        <v>-80.232152692638408</v>
      </c>
    </row>
    <row r="193" spans="1:18" x14ac:dyDescent="0.2">
      <c r="A193" s="162">
        <v>6</v>
      </c>
      <c r="B193" s="197">
        <f t="shared" si="45"/>
        <v>44348</v>
      </c>
      <c r="C193" s="221">
        <f t="shared" si="58"/>
        <v>44383</v>
      </c>
      <c r="D193" s="221">
        <f t="shared" si="58"/>
        <v>44401</v>
      </c>
      <c r="E193" s="54" t="s">
        <v>56</v>
      </c>
      <c r="F193" s="162">
        <v>9</v>
      </c>
      <c r="G193" s="200">
        <v>46</v>
      </c>
      <c r="H193" s="201">
        <f t="shared" si="46"/>
        <v>7.0559102035395256</v>
      </c>
      <c r="I193" s="201">
        <f t="shared" si="57"/>
        <v>5.1121348776600728</v>
      </c>
      <c r="J193" s="202">
        <f t="shared" si="47"/>
        <v>235.15820437236334</v>
      </c>
      <c r="K193" s="203">
        <f t="shared" si="41"/>
        <v>324.57186936281818</v>
      </c>
      <c r="L193" s="208">
        <f t="shared" si="59"/>
        <v>-89.413664990454834</v>
      </c>
      <c r="M193" s="205">
        <f t="shared" si="48"/>
        <v>-2.8533106060793352</v>
      </c>
      <c r="N193" s="206">
        <f t="shared" si="49"/>
        <v>-92.266975596534166</v>
      </c>
      <c r="O193" s="205">
        <v>0</v>
      </c>
      <c r="P193" s="205">
        <v>0</v>
      </c>
      <c r="Q193" s="205">
        <v>0</v>
      </c>
      <c r="R193" s="206">
        <f t="shared" si="50"/>
        <v>-92.266975596534166</v>
      </c>
    </row>
    <row r="194" spans="1:18" x14ac:dyDescent="0.2">
      <c r="A194" s="124">
        <v>7</v>
      </c>
      <c r="B194" s="197">
        <f t="shared" si="45"/>
        <v>44378</v>
      </c>
      <c r="C194" s="221">
        <f t="shared" si="58"/>
        <v>44412</v>
      </c>
      <c r="D194" s="221">
        <f t="shared" si="58"/>
        <v>44432</v>
      </c>
      <c r="E194" s="54" t="s">
        <v>56</v>
      </c>
      <c r="F194" s="162">
        <v>9</v>
      </c>
      <c r="G194" s="200">
        <v>48</v>
      </c>
      <c r="H194" s="201">
        <f t="shared" si="46"/>
        <v>7.0559102035395256</v>
      </c>
      <c r="I194" s="201">
        <f t="shared" si="57"/>
        <v>5.1121348776600728</v>
      </c>
      <c r="J194" s="202">
        <f t="shared" si="47"/>
        <v>245.38247412768351</v>
      </c>
      <c r="K194" s="209">
        <f t="shared" si="41"/>
        <v>338.68368976989723</v>
      </c>
      <c r="L194" s="208">
        <f t="shared" si="59"/>
        <v>-93.30121564221372</v>
      </c>
      <c r="M194" s="205">
        <f t="shared" si="48"/>
        <v>-2.9773675889523497</v>
      </c>
      <c r="N194" s="206">
        <f t="shared" si="49"/>
        <v>-96.278583231166067</v>
      </c>
      <c r="O194" s="205">
        <v>0</v>
      </c>
      <c r="P194" s="205">
        <v>0</v>
      </c>
      <c r="Q194" s="205">
        <v>0</v>
      </c>
      <c r="R194" s="206">
        <f t="shared" si="50"/>
        <v>-96.278583231166067</v>
      </c>
    </row>
    <row r="195" spans="1:18" x14ac:dyDescent="0.2">
      <c r="A195" s="162">
        <v>8</v>
      </c>
      <c r="B195" s="197">
        <f t="shared" si="45"/>
        <v>44409</v>
      </c>
      <c r="C195" s="221">
        <f t="shared" si="58"/>
        <v>44442</v>
      </c>
      <c r="D195" s="221">
        <f t="shared" si="58"/>
        <v>44463</v>
      </c>
      <c r="E195" s="54" t="s">
        <v>56</v>
      </c>
      <c r="F195" s="162">
        <v>9</v>
      </c>
      <c r="G195" s="200">
        <v>50</v>
      </c>
      <c r="H195" s="201">
        <f t="shared" si="46"/>
        <v>7.0559102035395256</v>
      </c>
      <c r="I195" s="201">
        <f t="shared" si="57"/>
        <v>5.1121348776600728</v>
      </c>
      <c r="J195" s="202">
        <f t="shared" si="47"/>
        <v>255.60674388300365</v>
      </c>
      <c r="K195" s="209">
        <f t="shared" si="41"/>
        <v>352.79551017697628</v>
      </c>
      <c r="L195" s="208">
        <f t="shared" si="59"/>
        <v>-97.188766293972634</v>
      </c>
      <c r="M195" s="205">
        <f t="shared" si="48"/>
        <v>-3.1014245718253646</v>
      </c>
      <c r="N195" s="206">
        <f t="shared" si="49"/>
        <v>-100.290190865798</v>
      </c>
      <c r="O195" s="205">
        <v>0</v>
      </c>
      <c r="P195" s="205">
        <v>0</v>
      </c>
      <c r="Q195" s="205">
        <v>0</v>
      </c>
      <c r="R195" s="206">
        <f t="shared" si="50"/>
        <v>-100.290190865798</v>
      </c>
    </row>
    <row r="196" spans="1:18" x14ac:dyDescent="0.2">
      <c r="A196" s="162">
        <v>9</v>
      </c>
      <c r="B196" s="197">
        <f t="shared" si="45"/>
        <v>44440</v>
      </c>
      <c r="C196" s="221">
        <f t="shared" si="58"/>
        <v>44474</v>
      </c>
      <c r="D196" s="221">
        <f t="shared" si="58"/>
        <v>44494</v>
      </c>
      <c r="E196" s="54" t="s">
        <v>56</v>
      </c>
      <c r="F196" s="162">
        <v>9</v>
      </c>
      <c r="G196" s="200">
        <v>52</v>
      </c>
      <c r="H196" s="201">
        <f t="shared" si="46"/>
        <v>7.0559102035395256</v>
      </c>
      <c r="I196" s="201">
        <f t="shared" si="57"/>
        <v>5.1121348776600728</v>
      </c>
      <c r="J196" s="202">
        <f t="shared" si="47"/>
        <v>265.83101363832378</v>
      </c>
      <c r="K196" s="209">
        <f t="shared" si="41"/>
        <v>366.90733058405533</v>
      </c>
      <c r="L196" s="208">
        <f t="shared" si="59"/>
        <v>-101.07631694573155</v>
      </c>
      <c r="M196" s="205">
        <f t="shared" si="48"/>
        <v>-3.225481554698379</v>
      </c>
      <c r="N196" s="206">
        <f t="shared" si="49"/>
        <v>-104.30179850042992</v>
      </c>
      <c r="O196" s="205">
        <v>0</v>
      </c>
      <c r="P196" s="205">
        <v>0</v>
      </c>
      <c r="Q196" s="205">
        <v>0</v>
      </c>
      <c r="R196" s="206">
        <f t="shared" si="50"/>
        <v>-104.30179850042992</v>
      </c>
    </row>
    <row r="197" spans="1:18" x14ac:dyDescent="0.2">
      <c r="A197" s="124">
        <v>10</v>
      </c>
      <c r="B197" s="197">
        <f t="shared" si="45"/>
        <v>44470</v>
      </c>
      <c r="C197" s="221">
        <f t="shared" si="58"/>
        <v>44503</v>
      </c>
      <c r="D197" s="221">
        <f t="shared" si="58"/>
        <v>44524</v>
      </c>
      <c r="E197" s="54" t="s">
        <v>56</v>
      </c>
      <c r="F197" s="162">
        <v>9</v>
      </c>
      <c r="G197" s="200">
        <v>40</v>
      </c>
      <c r="H197" s="201">
        <f t="shared" si="46"/>
        <v>7.0559102035395256</v>
      </c>
      <c r="I197" s="201">
        <f t="shared" si="57"/>
        <v>5.1121348776600728</v>
      </c>
      <c r="J197" s="202">
        <f t="shared" si="47"/>
        <v>204.4853951064029</v>
      </c>
      <c r="K197" s="209">
        <f t="shared" si="41"/>
        <v>282.23640814158102</v>
      </c>
      <c r="L197" s="208">
        <f t="shared" si="59"/>
        <v>-77.751013035178119</v>
      </c>
      <c r="M197" s="205">
        <f t="shared" si="48"/>
        <v>-2.4811396574602913</v>
      </c>
      <c r="N197" s="206">
        <f t="shared" si="49"/>
        <v>-80.232152692638408</v>
      </c>
      <c r="O197" s="205">
        <v>0</v>
      </c>
      <c r="P197" s="205">
        <v>0</v>
      </c>
      <c r="Q197" s="205">
        <v>0</v>
      </c>
      <c r="R197" s="206">
        <f t="shared" si="50"/>
        <v>-80.232152692638408</v>
      </c>
    </row>
    <row r="198" spans="1:18" x14ac:dyDescent="0.2">
      <c r="A198" s="162">
        <v>11</v>
      </c>
      <c r="B198" s="197">
        <f t="shared" si="45"/>
        <v>44501</v>
      </c>
      <c r="C198" s="221">
        <f t="shared" si="58"/>
        <v>44533</v>
      </c>
      <c r="D198" s="221">
        <f t="shared" si="58"/>
        <v>44557</v>
      </c>
      <c r="E198" s="54" t="s">
        <v>56</v>
      </c>
      <c r="F198" s="162">
        <v>9</v>
      </c>
      <c r="G198" s="200">
        <v>32</v>
      </c>
      <c r="H198" s="201">
        <f t="shared" si="46"/>
        <v>7.0559102035395256</v>
      </c>
      <c r="I198" s="201">
        <f t="shared" si="57"/>
        <v>5.1121348776600728</v>
      </c>
      <c r="J198" s="202">
        <f t="shared" si="47"/>
        <v>163.58831608512233</v>
      </c>
      <c r="K198" s="209">
        <f t="shared" ref="K198:K209" si="60">+$G198*H198</f>
        <v>225.78912651326482</v>
      </c>
      <c r="L198" s="208">
        <f t="shared" si="59"/>
        <v>-62.200810428142489</v>
      </c>
      <c r="M198" s="205">
        <f t="shared" si="48"/>
        <v>-1.984911725968233</v>
      </c>
      <c r="N198" s="206">
        <f t="shared" si="49"/>
        <v>-64.185722154110721</v>
      </c>
      <c r="O198" s="205">
        <v>0</v>
      </c>
      <c r="P198" s="205">
        <v>0</v>
      </c>
      <c r="Q198" s="205">
        <v>0</v>
      </c>
      <c r="R198" s="206">
        <f t="shared" si="50"/>
        <v>-64.185722154110721</v>
      </c>
    </row>
    <row r="199" spans="1:18" s="225" customFormat="1" x14ac:dyDescent="0.2">
      <c r="A199" s="162">
        <v>12</v>
      </c>
      <c r="B199" s="223">
        <f t="shared" si="45"/>
        <v>44531</v>
      </c>
      <c r="C199" s="221">
        <f t="shared" si="58"/>
        <v>44566</v>
      </c>
      <c r="D199" s="221">
        <f t="shared" si="58"/>
        <v>44585</v>
      </c>
      <c r="E199" s="224" t="s">
        <v>56</v>
      </c>
      <c r="F199" s="173">
        <v>9</v>
      </c>
      <c r="G199" s="212">
        <v>35</v>
      </c>
      <c r="H199" s="213">
        <f t="shared" si="46"/>
        <v>7.0559102035395256</v>
      </c>
      <c r="I199" s="213">
        <f t="shared" si="57"/>
        <v>5.1121348776600728</v>
      </c>
      <c r="J199" s="214">
        <f t="shared" si="47"/>
        <v>178.92472071810255</v>
      </c>
      <c r="K199" s="215">
        <f t="shared" si="60"/>
        <v>246.9568571238834</v>
      </c>
      <c r="L199" s="216">
        <f t="shared" si="59"/>
        <v>-68.032136405780847</v>
      </c>
      <c r="M199" s="205">
        <f t="shared" si="48"/>
        <v>-2.1709972002777551</v>
      </c>
      <c r="N199" s="206">
        <f t="shared" si="49"/>
        <v>-70.2031336060586</v>
      </c>
      <c r="O199" s="205">
        <v>0</v>
      </c>
      <c r="P199" s="205">
        <v>0</v>
      </c>
      <c r="Q199" s="205">
        <v>0</v>
      </c>
      <c r="R199" s="206">
        <f t="shared" si="50"/>
        <v>-70.2031336060586</v>
      </c>
    </row>
    <row r="200" spans="1:18" x14ac:dyDescent="0.2">
      <c r="A200" s="124">
        <v>1</v>
      </c>
      <c r="B200" s="197">
        <f t="shared" si="45"/>
        <v>44197</v>
      </c>
      <c r="C200" s="218">
        <f t="shared" si="58"/>
        <v>44230</v>
      </c>
      <c r="D200" s="218">
        <f t="shared" si="58"/>
        <v>44251</v>
      </c>
      <c r="E200" s="199" t="s">
        <v>17</v>
      </c>
      <c r="F200" s="124">
        <v>9</v>
      </c>
      <c r="G200" s="200">
        <v>94</v>
      </c>
      <c r="H200" s="201">
        <f t="shared" si="46"/>
        <v>7.0559102035395256</v>
      </c>
      <c r="I200" s="201">
        <f t="shared" si="57"/>
        <v>5.1121348776600728</v>
      </c>
      <c r="J200" s="202">
        <f t="shared" si="47"/>
        <v>480.54067850004685</v>
      </c>
      <c r="K200" s="203">
        <f t="shared" si="60"/>
        <v>663.25555913271546</v>
      </c>
      <c r="L200" s="204">
        <f t="shared" si="59"/>
        <v>-182.71488063266861</v>
      </c>
      <c r="M200" s="205">
        <f t="shared" si="48"/>
        <v>-5.8306781950316848</v>
      </c>
      <c r="N200" s="206">
        <f t="shared" si="49"/>
        <v>-188.54555882770029</v>
      </c>
      <c r="O200" s="205">
        <v>0</v>
      </c>
      <c r="P200" s="205">
        <v>0</v>
      </c>
      <c r="Q200" s="205">
        <v>0</v>
      </c>
      <c r="R200" s="206">
        <f t="shared" si="50"/>
        <v>-188.54555882770029</v>
      </c>
    </row>
    <row r="201" spans="1:18" x14ac:dyDescent="0.2">
      <c r="A201" s="162">
        <v>2</v>
      </c>
      <c r="B201" s="197">
        <f t="shared" si="45"/>
        <v>44228</v>
      </c>
      <c r="C201" s="221">
        <f t="shared" si="58"/>
        <v>44258</v>
      </c>
      <c r="D201" s="221">
        <f t="shared" si="58"/>
        <v>44279</v>
      </c>
      <c r="E201" s="207" t="s">
        <v>17</v>
      </c>
      <c r="F201" s="162">
        <v>9</v>
      </c>
      <c r="G201" s="200">
        <v>100</v>
      </c>
      <c r="H201" s="201">
        <f t="shared" si="46"/>
        <v>7.0559102035395256</v>
      </c>
      <c r="I201" s="201">
        <f t="shared" si="57"/>
        <v>5.1121348776600728</v>
      </c>
      <c r="J201" s="202">
        <f t="shared" si="47"/>
        <v>511.21348776600729</v>
      </c>
      <c r="K201" s="203">
        <f t="shared" si="60"/>
        <v>705.59102035395256</v>
      </c>
      <c r="L201" s="204">
        <f t="shared" si="59"/>
        <v>-194.37753258794527</v>
      </c>
      <c r="M201" s="205">
        <f t="shared" si="48"/>
        <v>-6.2028491436507291</v>
      </c>
      <c r="N201" s="206">
        <f t="shared" si="49"/>
        <v>-200.58038173159599</v>
      </c>
      <c r="O201" s="205">
        <v>0</v>
      </c>
      <c r="P201" s="205">
        <v>0</v>
      </c>
      <c r="Q201" s="205">
        <v>0</v>
      </c>
      <c r="R201" s="206">
        <f t="shared" si="50"/>
        <v>-200.58038173159599</v>
      </c>
    </row>
    <row r="202" spans="1:18" x14ac:dyDescent="0.2">
      <c r="A202" s="162">
        <v>3</v>
      </c>
      <c r="B202" s="197">
        <f t="shared" si="45"/>
        <v>44256</v>
      </c>
      <c r="C202" s="221">
        <f t="shared" si="58"/>
        <v>44291</v>
      </c>
      <c r="D202" s="221">
        <f t="shared" si="58"/>
        <v>44312</v>
      </c>
      <c r="E202" s="207" t="s">
        <v>17</v>
      </c>
      <c r="F202" s="162">
        <v>9</v>
      </c>
      <c r="G202" s="200">
        <v>101</v>
      </c>
      <c r="H202" s="201">
        <f t="shared" si="46"/>
        <v>7.0559102035395256</v>
      </c>
      <c r="I202" s="201">
        <f t="shared" si="57"/>
        <v>5.1121348776600728</v>
      </c>
      <c r="J202" s="202">
        <f t="shared" si="47"/>
        <v>516.32562264366732</v>
      </c>
      <c r="K202" s="203">
        <f t="shared" si="60"/>
        <v>712.64693055749206</v>
      </c>
      <c r="L202" s="204">
        <f>+J202-K202</f>
        <v>-196.32130791382474</v>
      </c>
      <c r="M202" s="205">
        <f t="shared" si="48"/>
        <v>-6.2648776350872364</v>
      </c>
      <c r="N202" s="206">
        <f t="shared" si="49"/>
        <v>-202.58618554891197</v>
      </c>
      <c r="O202" s="205">
        <v>0</v>
      </c>
      <c r="P202" s="205">
        <v>0</v>
      </c>
      <c r="Q202" s="205">
        <v>0</v>
      </c>
      <c r="R202" s="206">
        <f t="shared" si="50"/>
        <v>-202.58618554891197</v>
      </c>
    </row>
    <row r="203" spans="1:18" x14ac:dyDescent="0.2">
      <c r="A203" s="124">
        <v>4</v>
      </c>
      <c r="B203" s="197">
        <f t="shared" si="45"/>
        <v>44287</v>
      </c>
      <c r="C203" s="221">
        <f t="shared" si="58"/>
        <v>44321</v>
      </c>
      <c r="D203" s="221">
        <f t="shared" si="58"/>
        <v>44340</v>
      </c>
      <c r="E203" s="207" t="s">
        <v>17</v>
      </c>
      <c r="F203" s="162">
        <v>9</v>
      </c>
      <c r="G203" s="200">
        <v>98</v>
      </c>
      <c r="H203" s="201">
        <f t="shared" si="46"/>
        <v>7.0559102035395256</v>
      </c>
      <c r="I203" s="201">
        <f t="shared" si="57"/>
        <v>5.1121348776600728</v>
      </c>
      <c r="J203" s="202">
        <f t="shared" si="47"/>
        <v>500.98921801068713</v>
      </c>
      <c r="K203" s="203">
        <f t="shared" si="60"/>
        <v>691.47919994687345</v>
      </c>
      <c r="L203" s="204">
        <f t="shared" ref="L203:L211" si="61">+J203-K203</f>
        <v>-190.48998193618633</v>
      </c>
      <c r="M203" s="205">
        <f t="shared" si="48"/>
        <v>-6.0787921607777147</v>
      </c>
      <c r="N203" s="206">
        <f t="shared" si="49"/>
        <v>-196.56877409696403</v>
      </c>
      <c r="O203" s="205">
        <v>0</v>
      </c>
      <c r="P203" s="205">
        <v>0</v>
      </c>
      <c r="Q203" s="205">
        <v>0</v>
      </c>
      <c r="R203" s="206">
        <f t="shared" si="50"/>
        <v>-196.56877409696403</v>
      </c>
    </row>
    <row r="204" spans="1:18" x14ac:dyDescent="0.2">
      <c r="A204" s="162">
        <v>5</v>
      </c>
      <c r="B204" s="197">
        <f t="shared" si="45"/>
        <v>44317</v>
      </c>
      <c r="C204" s="221">
        <f t="shared" si="58"/>
        <v>44350</v>
      </c>
      <c r="D204" s="221">
        <f t="shared" si="58"/>
        <v>44371</v>
      </c>
      <c r="E204" s="54" t="s">
        <v>17</v>
      </c>
      <c r="F204" s="162">
        <v>9</v>
      </c>
      <c r="G204" s="200">
        <v>99</v>
      </c>
      <c r="H204" s="201">
        <f t="shared" si="46"/>
        <v>7.0559102035395256</v>
      </c>
      <c r="I204" s="201">
        <f t="shared" si="57"/>
        <v>5.1121348776600728</v>
      </c>
      <c r="J204" s="202">
        <f t="shared" si="47"/>
        <v>506.10135288834721</v>
      </c>
      <c r="K204" s="203">
        <f t="shared" si="60"/>
        <v>698.53511015041306</v>
      </c>
      <c r="L204" s="204">
        <f t="shared" si="61"/>
        <v>-192.43375726206585</v>
      </c>
      <c r="M204" s="205">
        <f t="shared" si="48"/>
        <v>-6.1408206522142219</v>
      </c>
      <c r="N204" s="206">
        <f t="shared" si="49"/>
        <v>-198.57457791428007</v>
      </c>
      <c r="O204" s="205">
        <v>0</v>
      </c>
      <c r="P204" s="205">
        <v>0</v>
      </c>
      <c r="Q204" s="205">
        <v>0</v>
      </c>
      <c r="R204" s="206">
        <f t="shared" si="50"/>
        <v>-198.57457791428007</v>
      </c>
    </row>
    <row r="205" spans="1:18" x14ac:dyDescent="0.2">
      <c r="A205" s="162">
        <v>6</v>
      </c>
      <c r="B205" s="197">
        <f t="shared" si="45"/>
        <v>44348</v>
      </c>
      <c r="C205" s="221">
        <f t="shared" si="58"/>
        <v>44383</v>
      </c>
      <c r="D205" s="221">
        <f t="shared" si="58"/>
        <v>44401</v>
      </c>
      <c r="E205" s="54" t="s">
        <v>17</v>
      </c>
      <c r="F205" s="162">
        <v>9</v>
      </c>
      <c r="G205" s="200">
        <v>113</v>
      </c>
      <c r="H205" s="201">
        <f t="shared" si="46"/>
        <v>7.0559102035395256</v>
      </c>
      <c r="I205" s="201">
        <f t="shared" si="57"/>
        <v>5.1121348776600728</v>
      </c>
      <c r="J205" s="202">
        <f t="shared" si="47"/>
        <v>577.67124117558819</v>
      </c>
      <c r="K205" s="203">
        <f t="shared" si="60"/>
        <v>797.31785299996636</v>
      </c>
      <c r="L205" s="208">
        <f t="shared" si="61"/>
        <v>-219.64661182437817</v>
      </c>
      <c r="M205" s="205">
        <f t="shared" si="48"/>
        <v>-7.0092195323253232</v>
      </c>
      <c r="N205" s="206">
        <f t="shared" si="49"/>
        <v>-226.65583135670349</v>
      </c>
      <c r="O205" s="205">
        <v>0</v>
      </c>
      <c r="P205" s="205">
        <v>0</v>
      </c>
      <c r="Q205" s="205">
        <v>0</v>
      </c>
      <c r="R205" s="206">
        <f t="shared" si="50"/>
        <v>-226.65583135670349</v>
      </c>
    </row>
    <row r="206" spans="1:18" x14ac:dyDescent="0.2">
      <c r="A206" s="124">
        <v>7</v>
      </c>
      <c r="B206" s="197">
        <f t="shared" si="45"/>
        <v>44378</v>
      </c>
      <c r="C206" s="221">
        <f t="shared" si="58"/>
        <v>44412</v>
      </c>
      <c r="D206" s="221">
        <f t="shared" si="58"/>
        <v>44432</v>
      </c>
      <c r="E206" s="54" t="s">
        <v>17</v>
      </c>
      <c r="F206" s="162">
        <v>9</v>
      </c>
      <c r="G206" s="200">
        <v>116</v>
      </c>
      <c r="H206" s="201">
        <f t="shared" si="46"/>
        <v>7.0559102035395256</v>
      </c>
      <c r="I206" s="201">
        <f t="shared" si="57"/>
        <v>5.1121348776600728</v>
      </c>
      <c r="J206" s="202">
        <f t="shared" si="47"/>
        <v>593.00764580856844</v>
      </c>
      <c r="K206" s="209">
        <f t="shared" si="60"/>
        <v>818.48558361058497</v>
      </c>
      <c r="L206" s="208">
        <f t="shared" si="61"/>
        <v>-225.47793780201653</v>
      </c>
      <c r="M206" s="205">
        <f t="shared" si="48"/>
        <v>-7.195305006634845</v>
      </c>
      <c r="N206" s="206">
        <f t="shared" si="49"/>
        <v>-232.67324280865137</v>
      </c>
      <c r="O206" s="205">
        <v>0</v>
      </c>
      <c r="P206" s="205">
        <v>0</v>
      </c>
      <c r="Q206" s="205">
        <v>0</v>
      </c>
      <c r="R206" s="206">
        <f t="shared" si="50"/>
        <v>-232.67324280865137</v>
      </c>
    </row>
    <row r="207" spans="1:18" x14ac:dyDescent="0.2">
      <c r="A207" s="162">
        <v>8</v>
      </c>
      <c r="B207" s="197">
        <f t="shared" si="45"/>
        <v>44409</v>
      </c>
      <c r="C207" s="221">
        <f t="shared" si="58"/>
        <v>44442</v>
      </c>
      <c r="D207" s="221">
        <f t="shared" si="58"/>
        <v>44463</v>
      </c>
      <c r="E207" s="54" t="s">
        <v>17</v>
      </c>
      <c r="F207" s="162">
        <v>9</v>
      </c>
      <c r="G207" s="200">
        <v>116</v>
      </c>
      <c r="H207" s="201">
        <f t="shared" si="46"/>
        <v>7.0559102035395256</v>
      </c>
      <c r="I207" s="201">
        <f t="shared" si="57"/>
        <v>5.1121348776600728</v>
      </c>
      <c r="J207" s="202">
        <f t="shared" si="47"/>
        <v>593.00764580856844</v>
      </c>
      <c r="K207" s="209">
        <f t="shared" si="60"/>
        <v>818.48558361058497</v>
      </c>
      <c r="L207" s="208">
        <f t="shared" si="61"/>
        <v>-225.47793780201653</v>
      </c>
      <c r="M207" s="205">
        <f t="shared" si="48"/>
        <v>-7.195305006634845</v>
      </c>
      <c r="N207" s="206">
        <f t="shared" si="49"/>
        <v>-232.67324280865137</v>
      </c>
      <c r="O207" s="205">
        <v>0</v>
      </c>
      <c r="P207" s="205">
        <v>0</v>
      </c>
      <c r="Q207" s="205">
        <v>0</v>
      </c>
      <c r="R207" s="206">
        <f t="shared" si="50"/>
        <v>-232.67324280865137</v>
      </c>
    </row>
    <row r="208" spans="1:18" x14ac:dyDescent="0.2">
      <c r="A208" s="162">
        <v>9</v>
      </c>
      <c r="B208" s="197">
        <f t="shared" si="45"/>
        <v>44440</v>
      </c>
      <c r="C208" s="221">
        <f t="shared" si="58"/>
        <v>44474</v>
      </c>
      <c r="D208" s="221">
        <f t="shared" si="58"/>
        <v>44494</v>
      </c>
      <c r="E208" s="54" t="s">
        <v>17</v>
      </c>
      <c r="F208" s="162">
        <v>9</v>
      </c>
      <c r="G208" s="200">
        <v>116</v>
      </c>
      <c r="H208" s="201">
        <f t="shared" si="46"/>
        <v>7.0559102035395256</v>
      </c>
      <c r="I208" s="201">
        <f t="shared" si="57"/>
        <v>5.1121348776600728</v>
      </c>
      <c r="J208" s="202">
        <f t="shared" si="47"/>
        <v>593.00764580856844</v>
      </c>
      <c r="K208" s="209">
        <f t="shared" si="60"/>
        <v>818.48558361058497</v>
      </c>
      <c r="L208" s="208">
        <f t="shared" si="61"/>
        <v>-225.47793780201653</v>
      </c>
      <c r="M208" s="205">
        <f t="shared" si="48"/>
        <v>-7.195305006634845</v>
      </c>
      <c r="N208" s="206">
        <f t="shared" si="49"/>
        <v>-232.67324280865137</v>
      </c>
      <c r="O208" s="205">
        <v>0</v>
      </c>
      <c r="P208" s="205">
        <v>0</v>
      </c>
      <c r="Q208" s="205">
        <v>0</v>
      </c>
      <c r="R208" s="206">
        <f t="shared" si="50"/>
        <v>-232.67324280865137</v>
      </c>
    </row>
    <row r="209" spans="1:18" x14ac:dyDescent="0.2">
      <c r="A209" s="124">
        <v>10</v>
      </c>
      <c r="B209" s="197">
        <f t="shared" si="45"/>
        <v>44470</v>
      </c>
      <c r="C209" s="221">
        <f t="shared" si="58"/>
        <v>44503</v>
      </c>
      <c r="D209" s="221">
        <f t="shared" si="58"/>
        <v>44524</v>
      </c>
      <c r="E209" s="54" t="s">
        <v>17</v>
      </c>
      <c r="F209" s="162">
        <v>9</v>
      </c>
      <c r="G209" s="200">
        <v>105</v>
      </c>
      <c r="H209" s="201">
        <f t="shared" si="46"/>
        <v>7.0559102035395256</v>
      </c>
      <c r="I209" s="201">
        <f t="shared" si="57"/>
        <v>5.1121348776600728</v>
      </c>
      <c r="J209" s="202">
        <f t="shared" si="47"/>
        <v>536.77416215430765</v>
      </c>
      <c r="K209" s="209">
        <f t="shared" si="60"/>
        <v>740.87057137165016</v>
      </c>
      <c r="L209" s="208">
        <f t="shared" si="61"/>
        <v>-204.09640921734251</v>
      </c>
      <c r="M209" s="205">
        <f t="shared" si="48"/>
        <v>-6.5129916008332653</v>
      </c>
      <c r="N209" s="206">
        <f t="shared" si="49"/>
        <v>-210.60940081817577</v>
      </c>
      <c r="O209" s="205">
        <v>0</v>
      </c>
      <c r="P209" s="205">
        <v>0</v>
      </c>
      <c r="Q209" s="205">
        <v>0</v>
      </c>
      <c r="R209" s="206">
        <f t="shared" si="50"/>
        <v>-210.60940081817577</v>
      </c>
    </row>
    <row r="210" spans="1:18" x14ac:dyDescent="0.2">
      <c r="A210" s="162">
        <v>11</v>
      </c>
      <c r="B210" s="197">
        <f t="shared" si="45"/>
        <v>44501</v>
      </c>
      <c r="C210" s="221">
        <f t="shared" si="58"/>
        <v>44533</v>
      </c>
      <c r="D210" s="221">
        <f t="shared" si="58"/>
        <v>44557</v>
      </c>
      <c r="E210" s="54" t="s">
        <v>17</v>
      </c>
      <c r="F210" s="162">
        <v>9</v>
      </c>
      <c r="G210" s="200">
        <v>100</v>
      </c>
      <c r="H210" s="201">
        <f t="shared" si="46"/>
        <v>7.0559102035395256</v>
      </c>
      <c r="I210" s="201">
        <f t="shared" si="57"/>
        <v>5.1121348776600728</v>
      </c>
      <c r="J210" s="202">
        <f t="shared" si="47"/>
        <v>511.21348776600729</v>
      </c>
      <c r="K210" s="209">
        <f>+$G210*H210</f>
        <v>705.59102035395256</v>
      </c>
      <c r="L210" s="208">
        <f t="shared" si="61"/>
        <v>-194.37753258794527</v>
      </c>
      <c r="M210" s="205">
        <f t="shared" si="48"/>
        <v>-6.2028491436507291</v>
      </c>
      <c r="N210" s="206">
        <f t="shared" si="49"/>
        <v>-200.58038173159599</v>
      </c>
      <c r="O210" s="205">
        <v>0</v>
      </c>
      <c r="P210" s="205">
        <v>0</v>
      </c>
      <c r="Q210" s="205">
        <v>0</v>
      </c>
      <c r="R210" s="206">
        <f t="shared" si="50"/>
        <v>-200.58038173159599</v>
      </c>
    </row>
    <row r="211" spans="1:18" s="225" customFormat="1" x14ac:dyDescent="0.2">
      <c r="A211" s="162">
        <v>12</v>
      </c>
      <c r="B211" s="223">
        <f t="shared" si="45"/>
        <v>44531</v>
      </c>
      <c r="C211" s="226">
        <f t="shared" si="58"/>
        <v>44566</v>
      </c>
      <c r="D211" s="226">
        <f t="shared" si="58"/>
        <v>44585</v>
      </c>
      <c r="E211" s="224" t="s">
        <v>17</v>
      </c>
      <c r="F211" s="173">
        <v>9</v>
      </c>
      <c r="G211" s="212">
        <v>103</v>
      </c>
      <c r="H211" s="213">
        <f t="shared" si="46"/>
        <v>7.0559102035395256</v>
      </c>
      <c r="I211" s="213">
        <f t="shared" si="57"/>
        <v>5.1121348776600728</v>
      </c>
      <c r="J211" s="214">
        <f t="shared" si="47"/>
        <v>526.54989239898748</v>
      </c>
      <c r="K211" s="215">
        <f>+$G211*H211</f>
        <v>726.75875096457116</v>
      </c>
      <c r="L211" s="216">
        <f t="shared" si="61"/>
        <v>-200.20885856558368</v>
      </c>
      <c r="M211" s="214">
        <f t="shared" si="48"/>
        <v>-6.3889346179602509</v>
      </c>
      <c r="N211" s="206">
        <f t="shared" si="49"/>
        <v>-206.59779318354393</v>
      </c>
      <c r="O211" s="205">
        <v>0</v>
      </c>
      <c r="P211" s="205">
        <v>0</v>
      </c>
      <c r="Q211" s="205">
        <v>0</v>
      </c>
      <c r="R211" s="206">
        <f t="shared" si="50"/>
        <v>-206.59779318354393</v>
      </c>
    </row>
    <row r="212" spans="1:18" x14ac:dyDescent="0.2">
      <c r="G212" s="231">
        <f>SUM(G20:G211)</f>
        <v>98311</v>
      </c>
      <c r="H212" s="51"/>
      <c r="I212" s="51"/>
      <c r="J212" s="51">
        <f>SUM(J20:J211)</f>
        <v>502579.09195763961</v>
      </c>
      <c r="K212" s="51">
        <f>SUM(K20:K211)</f>
        <v>693673.58802017441</v>
      </c>
      <c r="L212" s="51">
        <f>SUM(L20:L211)</f>
        <v>-191094.49606253504</v>
      </c>
      <c r="M212" s="51">
        <f>SUM(M20:M211)</f>
        <v>-6098.0830216144723</v>
      </c>
      <c r="N212" s="51"/>
      <c r="O212" s="51"/>
      <c r="P212" s="51">
        <f>SUM(P20:P211)</f>
        <v>0</v>
      </c>
      <c r="Q212" s="51"/>
      <c r="R212" s="232">
        <f>SUM(R20:R211)</f>
        <v>-197192.57908414968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j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DozMS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58943CD5-ABCC-40D5-B67E-D8B218E9A1B5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BB09F57-0463-4388-ACA3-8D53A088A48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2022-05-29T23:24:18Z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cfa33df9-0e91-4da4-976b-7a0481d29165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{4BB09F57-0463-4388-ACA3-8D53A088A480}</vt:lpwstr>
  </property>
</Properties>
</file>